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200" windowWidth="25860" windowHeight="19140" activeTab="0"/>
  </bookViews>
  <sheets>
    <sheet name="Lang,LSI,RSI,PSI, LaI; Alk, TH" sheetId="1" r:id="rId1"/>
    <sheet name="Langelier (simplificado)" sheetId="2" r:id="rId2"/>
    <sheet name="LSI (SM2330)" sheetId="3" r:id="rId3"/>
    <sheet name="Ryznar" sheetId="4" r:id="rId4"/>
    <sheet name="Puckorius" sheetId="5" r:id="rId5"/>
    <sheet name="Larson-Skold" sheetId="6" r:id="rId6"/>
  </sheets>
  <definedNames/>
  <calcPr fullCalcOnLoad="1"/>
</workbook>
</file>

<file path=xl/sharedStrings.xml><?xml version="1.0" encoding="utf-8"?>
<sst xmlns="http://schemas.openxmlformats.org/spreadsheetml/2006/main" count="431" uniqueCount="267">
  <si>
    <r>
      <t xml:space="preserve">     I = 1,6 x 10</t>
    </r>
    <r>
      <rPr>
        <vertAlign val="superscript"/>
        <sz val="10"/>
        <rFont val="Comic Sans MS"/>
        <family val="0"/>
      </rPr>
      <t xml:space="preserve">-5 </t>
    </r>
    <r>
      <rPr>
        <sz val="10"/>
        <rFont val="Comic Sans MS"/>
        <family val="4"/>
      </rPr>
      <t>x CE</t>
    </r>
  </si>
  <si>
    <t>5,0 &lt; RSI &lt; 6,0 ligeramente incrustante</t>
  </si>
  <si>
    <t>LaI</t>
  </si>
  <si>
    <t xml:space="preserve"> Índice de Larson (LaI)</t>
  </si>
  <si>
    <t>LaI &gt; 1,2 Corrosión elevada</t>
  </si>
  <si>
    <t>0,8 &lt; LaI &lt; 1,2 Corrosión significativa</t>
  </si>
  <si>
    <t>LaI &lt; 0,8 No corrosión</t>
  </si>
  <si>
    <t>Larson (LaI)</t>
  </si>
  <si>
    <r>
      <t xml:space="preserve">Fuente: </t>
    </r>
    <r>
      <rPr>
        <sz val="8"/>
        <rFont val="Comic Sans MS"/>
        <family val="4"/>
      </rPr>
      <t>[1] R. Puckorius and J. M. Brooke, A new practical index for calcium carbonate scale prediction in cooling systems, Corrosion, pp 280-284, April 1991, [2] P. R. Puckorius and G. R. Loretitsch, Cooling water scale and scaling indices: what they mean - how to use them effectively - how they can cut treatment costs, Paper IWC-47, Int. Water Conference, Pittsburgh, PA, 1999.</t>
    </r>
  </si>
  <si>
    <t>(*) El pH de equilibrio de Puckorius es una correción empírica del pH del agua (Es aplicable para aguas continentales y no para aguas desaladas o remineralizadas)</t>
  </si>
  <si>
    <r>
      <t>2pHsat)</t>
    </r>
    <r>
      <rPr>
        <vertAlign val="subscript"/>
        <sz val="10"/>
        <rFont val="Comic Sans MS"/>
        <family val="0"/>
      </rPr>
      <t xml:space="preserve">Lang-abrev. </t>
    </r>
    <r>
      <rPr>
        <sz val="10"/>
        <rFont val="Comic Sans MS"/>
        <family val="4"/>
      </rPr>
      <t>-pH</t>
    </r>
  </si>
  <si>
    <r>
      <t>pHs)</t>
    </r>
    <r>
      <rPr>
        <vertAlign val="subscript"/>
        <sz val="10"/>
        <rFont val="Comic Sans MS"/>
        <family val="0"/>
      </rPr>
      <t>Langelier-abreviado</t>
    </r>
  </si>
  <si>
    <t xml:space="preserve">El índice de Larson (LaI) ha sido diseñado para los rangos existentes en los Grandes Lagos (Superior, Michigan, Hurón, Eire y Ontario). Es útil para aguas equilibradas y también las depuradas, en especial las aguas frias (&lt;20ºC). Con aguas  con alcalinidad muy baja (por ejemplo aguas desaladas) o alcalinidad muy alta (aguas subterráneas de Tenerife) no funciona bien. </t>
  </si>
  <si>
    <t>LaI &gt; 1,2 corrosión elevada</t>
  </si>
  <si>
    <t>0,8 &lt; LaI &lt; 1,2 corrosión significativa</t>
  </si>
  <si>
    <t>LaI &lt; 0,8 no corrosión</t>
  </si>
  <si>
    <r>
      <t>LaI = ([Cl</t>
    </r>
    <r>
      <rPr>
        <vertAlign val="superscript"/>
        <sz val="8"/>
        <rFont val="Comic Sans MS"/>
        <family val="4"/>
      </rPr>
      <t>-</t>
    </r>
    <r>
      <rPr>
        <sz val="8"/>
        <rFont val="Comic Sans MS"/>
        <family val="4"/>
      </rPr>
      <t>]+[SO</t>
    </r>
    <r>
      <rPr>
        <vertAlign val="subscript"/>
        <sz val="8"/>
        <rFont val="Comic Sans MS"/>
        <family val="4"/>
      </rPr>
      <t>4</t>
    </r>
    <r>
      <rPr>
        <vertAlign val="superscript"/>
        <sz val="8"/>
        <rFont val="Comic Sans MS"/>
        <family val="4"/>
      </rPr>
      <t>2-</t>
    </r>
    <r>
      <rPr>
        <sz val="8"/>
        <rFont val="Comic Sans MS"/>
        <family val="4"/>
      </rPr>
      <t>])/([HCO</t>
    </r>
    <r>
      <rPr>
        <vertAlign val="subscript"/>
        <sz val="8"/>
        <rFont val="Comic Sans MS"/>
        <family val="4"/>
      </rPr>
      <t>3</t>
    </r>
    <r>
      <rPr>
        <vertAlign val="superscript"/>
        <sz val="8"/>
        <rFont val="Comic Sans MS"/>
        <family val="4"/>
      </rPr>
      <t>-</t>
    </r>
    <r>
      <rPr>
        <sz val="8"/>
        <rFont val="Comic Sans MS"/>
        <family val="4"/>
      </rPr>
      <t>]+[CO</t>
    </r>
    <r>
      <rPr>
        <vertAlign val="subscript"/>
        <sz val="8"/>
        <rFont val="Comic Sans MS"/>
        <family val="4"/>
      </rPr>
      <t>3</t>
    </r>
    <r>
      <rPr>
        <vertAlign val="superscript"/>
        <sz val="8"/>
        <rFont val="Comic Sans MS"/>
        <family val="4"/>
      </rPr>
      <t>2-</t>
    </r>
    <r>
      <rPr>
        <sz val="8"/>
        <rFont val="Comic Sans MS"/>
        <family val="4"/>
      </rPr>
      <t>])</t>
    </r>
  </si>
  <si>
    <t>7,0 &lt; RSI &lt; 7,5 significantemente corrosiva</t>
  </si>
  <si>
    <t>7,5 &lt; RSI &lt; 9,0 fuertemente corrosiva</t>
  </si>
  <si>
    <r>
      <t xml:space="preserve">RSI </t>
    </r>
    <r>
      <rPr>
        <sz val="9"/>
        <rFont val="Arial"/>
        <family val="2"/>
      </rPr>
      <t xml:space="preserve">&gt; </t>
    </r>
    <r>
      <rPr>
        <sz val="9"/>
        <rFont val="Comic Sans MS"/>
        <family val="4"/>
      </rPr>
      <t>9,0 intolerablemente corrosiva</t>
    </r>
  </si>
  <si>
    <t xml:space="preserve">4,5 &lt; PSI &lt; 6,5 rango óptimo </t>
  </si>
  <si>
    <r>
      <t xml:space="preserve">RSI </t>
    </r>
    <r>
      <rPr>
        <b/>
        <sz val="10"/>
        <rFont val="Arial"/>
        <family val="2"/>
      </rPr>
      <t xml:space="preserve">&gt; </t>
    </r>
    <r>
      <rPr>
        <b/>
        <sz val="10"/>
        <rFont val="Comic Sans MS"/>
        <family val="4"/>
      </rPr>
      <t>9,0 intolerablemente corrosiva</t>
    </r>
  </si>
  <si>
    <t>ALCALINIDAD (Alk)</t>
  </si>
  <si>
    <r>
      <t>Autores:</t>
    </r>
    <r>
      <rPr>
        <sz val="10"/>
        <rFont val="Comic Sans MS"/>
        <family val="4"/>
      </rPr>
      <t xml:space="preserve"> E. González, M. I. Parra, M. Hernández</t>
    </r>
  </si>
  <si>
    <r>
      <t>pK</t>
    </r>
    <r>
      <rPr>
        <vertAlign val="subscript"/>
        <sz val="10"/>
        <rFont val="Comic Sans MS"/>
        <family val="0"/>
      </rPr>
      <t>2</t>
    </r>
  </si>
  <si>
    <r>
      <t>pK</t>
    </r>
    <r>
      <rPr>
        <vertAlign val="subscript"/>
        <sz val="10"/>
        <rFont val="Comic Sans MS"/>
        <family val="0"/>
      </rPr>
      <t>w</t>
    </r>
  </si>
  <si>
    <r>
      <t>pK</t>
    </r>
    <r>
      <rPr>
        <vertAlign val="subscript"/>
        <sz val="9"/>
        <rFont val="Comic Sans MS"/>
        <family val="4"/>
      </rPr>
      <t>2</t>
    </r>
    <r>
      <rPr>
        <sz val="9"/>
        <rFont val="Comic Sans MS"/>
        <family val="4"/>
      </rPr>
      <t>-pKsc+pCa+pAlk+5pfm</t>
    </r>
  </si>
  <si>
    <r>
      <t>PSI = 2(pHsat)</t>
    </r>
    <r>
      <rPr>
        <vertAlign val="subscript"/>
        <sz val="10"/>
        <rFont val="Comic Sans MS"/>
        <family val="0"/>
      </rPr>
      <t>LSI</t>
    </r>
    <r>
      <rPr>
        <sz val="10"/>
        <rFont val="Comic Sans MS"/>
        <family val="4"/>
      </rPr>
      <t xml:space="preserve"> - pHeq</t>
    </r>
    <r>
      <rPr>
        <vertAlign val="subscript"/>
        <sz val="10"/>
        <rFont val="Comic Sans MS"/>
        <family val="0"/>
      </rPr>
      <t>(Puckorius)</t>
    </r>
  </si>
  <si>
    <t xml:space="preserve"> </t>
  </si>
  <si>
    <t xml:space="preserve">   </t>
  </si>
  <si>
    <r>
      <t>pK</t>
    </r>
    <r>
      <rPr>
        <vertAlign val="subscript"/>
        <sz val="10"/>
        <rFont val="Comic Sans MS"/>
        <family val="0"/>
      </rPr>
      <t>2</t>
    </r>
    <r>
      <rPr>
        <sz val="10"/>
        <rFont val="Comic Sans MS"/>
        <family val="4"/>
      </rPr>
      <t>-pK</t>
    </r>
    <r>
      <rPr>
        <vertAlign val="subscript"/>
        <sz val="10"/>
        <rFont val="Comic Sans MS"/>
        <family val="0"/>
      </rPr>
      <t>SC</t>
    </r>
    <r>
      <rPr>
        <sz val="10"/>
        <rFont val="Comic Sans MS"/>
        <family val="4"/>
      </rPr>
      <t xml:space="preserve"> + pCa+pAlk+5pfm</t>
    </r>
  </si>
  <si>
    <r>
      <t xml:space="preserve">     K</t>
    </r>
    <r>
      <rPr>
        <vertAlign val="subscript"/>
        <sz val="10"/>
        <rFont val="Comic Sans MS"/>
        <family val="0"/>
      </rPr>
      <t>2</t>
    </r>
    <r>
      <rPr>
        <sz val="10"/>
        <rFont val="Comic Sans MS"/>
        <family val="4"/>
      </rPr>
      <t xml:space="preserve"> = Segunda constante de disociación para el ácido carbónico a la temperatura del agua.</t>
    </r>
  </si>
  <si>
    <r>
      <t xml:space="preserve">     K</t>
    </r>
    <r>
      <rPr>
        <vertAlign val="subscript"/>
        <sz val="10"/>
        <rFont val="Comic Sans MS"/>
        <family val="0"/>
      </rPr>
      <t>SC</t>
    </r>
    <r>
      <rPr>
        <sz val="10"/>
        <rFont val="Comic Sans MS"/>
        <family val="4"/>
      </rPr>
      <t xml:space="preserve"> = Producto de solubilidad para la calcita a la temperatura del agua.</t>
    </r>
  </si>
  <si>
    <r>
      <t xml:space="preserve">     f</t>
    </r>
    <r>
      <rPr>
        <vertAlign val="subscript"/>
        <sz val="10"/>
        <rFont val="Comic Sans MS"/>
        <family val="0"/>
      </rPr>
      <t xml:space="preserve">m </t>
    </r>
    <r>
      <rPr>
        <sz val="10"/>
        <rFont val="Comic Sans MS"/>
        <family val="4"/>
      </rPr>
      <t>= Coeficiente de actividad a la temperatura especificada.</t>
    </r>
  </si>
  <si>
    <r>
      <t>mg CaCO</t>
    </r>
    <r>
      <rPr>
        <vertAlign val="subscript"/>
        <sz val="10"/>
        <rFont val="Comic Sans MS"/>
        <family val="0"/>
      </rPr>
      <t>3</t>
    </r>
    <r>
      <rPr>
        <sz val="10"/>
        <rFont val="Comic Sans MS"/>
        <family val="4"/>
      </rPr>
      <t>/l</t>
    </r>
  </si>
  <si>
    <r>
      <t>Cl</t>
    </r>
    <r>
      <rPr>
        <vertAlign val="superscript"/>
        <sz val="10"/>
        <rFont val="Comic Sans MS"/>
        <family val="0"/>
      </rPr>
      <t>-</t>
    </r>
  </si>
  <si>
    <r>
      <t>SO</t>
    </r>
    <r>
      <rPr>
        <vertAlign val="subscript"/>
        <sz val="10"/>
        <rFont val="Comic Sans MS"/>
        <family val="0"/>
      </rPr>
      <t>4</t>
    </r>
    <r>
      <rPr>
        <vertAlign val="superscript"/>
        <sz val="10"/>
        <rFont val="Comic Sans MS"/>
        <family val="0"/>
      </rPr>
      <t>2-</t>
    </r>
  </si>
  <si>
    <r>
      <t xml:space="preserve">     pK</t>
    </r>
    <r>
      <rPr>
        <vertAlign val="subscript"/>
        <sz val="10"/>
        <rFont val="Comic Sans MS"/>
        <family val="0"/>
      </rPr>
      <t>SC</t>
    </r>
    <r>
      <rPr>
        <sz val="10"/>
        <rFont val="Comic Sans MS"/>
        <family val="4"/>
      </rPr>
      <t xml:space="preserve"> = 171,9065+0,077993T-2839,319/T-71,595log</t>
    </r>
    <r>
      <rPr>
        <vertAlign val="subscript"/>
        <sz val="10"/>
        <rFont val="Comic Sans MS"/>
        <family val="0"/>
      </rPr>
      <t>10</t>
    </r>
    <r>
      <rPr>
        <sz val="10"/>
        <rFont val="Comic Sans MS"/>
        <family val="4"/>
      </rPr>
      <t>T, para un rango de temperaturas de 273-363 K</t>
    </r>
  </si>
  <si>
    <r>
      <t xml:space="preserve">     pf</t>
    </r>
    <r>
      <rPr>
        <vertAlign val="subscript"/>
        <sz val="10"/>
        <rFont val="Comic Sans MS"/>
        <family val="0"/>
      </rPr>
      <t>m</t>
    </r>
    <r>
      <rPr>
        <sz val="10"/>
        <rFont val="Comic Sans MS"/>
        <family val="4"/>
      </rPr>
      <t xml:space="preserve"> = [(AI</t>
    </r>
    <r>
      <rPr>
        <vertAlign val="superscript"/>
        <sz val="10"/>
        <rFont val="Comic Sans MS"/>
        <family val="0"/>
      </rPr>
      <t>1/2</t>
    </r>
    <r>
      <rPr>
        <sz val="10"/>
        <rFont val="Comic Sans MS"/>
        <family val="4"/>
      </rPr>
      <t>)/(1+I</t>
    </r>
    <r>
      <rPr>
        <vertAlign val="superscript"/>
        <sz val="10"/>
        <rFont val="Comic Sans MS"/>
        <family val="0"/>
      </rPr>
      <t>1/2</t>
    </r>
    <r>
      <rPr>
        <sz val="10"/>
        <rFont val="Comic Sans MS"/>
        <family val="4"/>
      </rPr>
      <t xml:space="preserve">)]-0,3I, válido para I&lt; 0,5 </t>
    </r>
  </si>
  <si>
    <r>
      <t xml:space="preserve">     A = 1,82 x 10</t>
    </r>
    <r>
      <rPr>
        <vertAlign val="superscript"/>
        <sz val="10"/>
        <rFont val="Comic Sans MS"/>
        <family val="0"/>
      </rPr>
      <t>6</t>
    </r>
    <r>
      <rPr>
        <sz val="10"/>
        <rFont val="Comic Sans MS"/>
        <family val="4"/>
      </rPr>
      <t xml:space="preserve"> (E·T)</t>
    </r>
    <r>
      <rPr>
        <vertAlign val="superscript"/>
        <sz val="10"/>
        <rFont val="Comic Sans MS"/>
        <family val="0"/>
      </rPr>
      <t>-1,5</t>
    </r>
  </si>
  <si>
    <t>(**) Este método es recomendado para analizar el cumplimiento del RD 140/2003 (España). [2] Este RD define que el agua debe tener un LSI ±0,5.</t>
  </si>
  <si>
    <r>
      <t xml:space="preserve">Fuente: </t>
    </r>
    <r>
      <rPr>
        <sz val="8"/>
        <rFont val="Comic Sans MS"/>
        <family val="4"/>
      </rPr>
      <t>Standard Methods for the Examination of Water and Wastewater, 21st Edition, 2005.</t>
    </r>
  </si>
  <si>
    <r>
      <t>HCO</t>
    </r>
    <r>
      <rPr>
        <vertAlign val="subscript"/>
        <sz val="10"/>
        <rFont val="Comic Sans MS"/>
        <family val="0"/>
      </rPr>
      <t>3</t>
    </r>
    <r>
      <rPr>
        <vertAlign val="superscript"/>
        <sz val="10"/>
        <rFont val="Comic Sans MS"/>
        <family val="0"/>
      </rPr>
      <t>-</t>
    </r>
  </si>
  <si>
    <r>
      <t>CO</t>
    </r>
    <r>
      <rPr>
        <vertAlign val="subscript"/>
        <sz val="10"/>
        <rFont val="Comic Sans MS"/>
        <family val="0"/>
      </rPr>
      <t>3</t>
    </r>
    <r>
      <rPr>
        <vertAlign val="superscript"/>
        <sz val="10"/>
        <rFont val="Comic Sans MS"/>
        <family val="0"/>
      </rPr>
      <t>2-</t>
    </r>
  </si>
  <si>
    <r>
      <t>pHsat)</t>
    </r>
    <r>
      <rPr>
        <vertAlign val="subscript"/>
        <sz val="10"/>
        <rFont val="Comic Sans MS"/>
        <family val="0"/>
      </rPr>
      <t>LSI</t>
    </r>
  </si>
  <si>
    <t>Cloruros</t>
  </si>
  <si>
    <t>Sulfatos</t>
  </si>
  <si>
    <t xml:space="preserve">     pH = pH actual del agua</t>
  </si>
  <si>
    <t xml:space="preserve">     Ca = Calcio, en moles-g/L</t>
  </si>
  <si>
    <t xml:space="preserve">     CE= conductividad eléctrica, µmhos/cm o µS/cm</t>
  </si>
  <si>
    <r>
      <t>El Índice de Ryznar también marca la tendencia a la precipitación o la disolución de CaCO</t>
    </r>
    <r>
      <rPr>
        <vertAlign val="subscript"/>
        <sz val="10"/>
        <rFont val="Comic Sans MS"/>
        <family val="0"/>
      </rPr>
      <t>3.</t>
    </r>
    <r>
      <rPr>
        <sz val="10"/>
        <rFont val="Comic Sans MS"/>
        <family val="4"/>
      </rPr>
      <t xml:space="preserve"> Se ha utilizado durante años, a veces con buenos resultados. Debido a su carácter semi-empírico, puede resultar menos fiable que los índice de saturación</t>
    </r>
  </si>
  <si>
    <r>
      <t>mgCO</t>
    </r>
    <r>
      <rPr>
        <vertAlign val="subscript"/>
        <sz val="10"/>
        <rFont val="Comic Sans MS"/>
        <family val="0"/>
      </rPr>
      <t>3</t>
    </r>
    <r>
      <rPr>
        <vertAlign val="superscript"/>
        <sz val="10"/>
        <rFont val="Comic Sans MS"/>
        <family val="0"/>
      </rPr>
      <t>=</t>
    </r>
    <r>
      <rPr>
        <sz val="10"/>
        <rFont val="Comic Sans MS"/>
        <family val="4"/>
      </rPr>
      <t>/L</t>
    </r>
  </si>
  <si>
    <r>
      <t>RSI = 2(pHsat)</t>
    </r>
    <r>
      <rPr>
        <vertAlign val="subscript"/>
        <sz val="10"/>
        <rFont val="Comic Sans MS"/>
        <family val="0"/>
      </rPr>
      <t>IS</t>
    </r>
    <r>
      <rPr>
        <sz val="10"/>
        <rFont val="Comic Sans MS"/>
        <family val="4"/>
      </rPr>
      <t xml:space="preserve"> - pH</t>
    </r>
    <r>
      <rPr>
        <vertAlign val="subscript"/>
        <sz val="10"/>
        <rFont val="Comic Sans MS"/>
        <family val="0"/>
      </rPr>
      <t xml:space="preserve">, </t>
    </r>
    <r>
      <rPr>
        <sz val="10"/>
        <rFont val="Comic Sans MS"/>
        <family val="4"/>
      </rPr>
      <t>donde</t>
    </r>
  </si>
  <si>
    <r>
      <t>pHsat)</t>
    </r>
    <r>
      <rPr>
        <vertAlign val="subscript"/>
        <sz val="10"/>
        <rFont val="Comic Sans MS"/>
        <family val="0"/>
      </rPr>
      <t>LSI</t>
    </r>
    <r>
      <rPr>
        <sz val="10"/>
        <rFont val="Comic Sans MS"/>
        <family val="4"/>
      </rPr>
      <t xml:space="preserve"> = pH de saturación o pH al cual se logra el equilibrio calcocarbónico del agua</t>
    </r>
  </si>
  <si>
    <r>
      <t>mg CaCO</t>
    </r>
    <r>
      <rPr>
        <vertAlign val="subscript"/>
        <sz val="10"/>
        <rFont val="Comic Sans MS"/>
        <family val="0"/>
      </rPr>
      <t>3</t>
    </r>
    <r>
      <rPr>
        <sz val="10"/>
        <rFont val="Comic Sans MS"/>
        <family val="4"/>
      </rPr>
      <t>/L</t>
    </r>
  </si>
  <si>
    <r>
      <t>pHs</t>
    </r>
    <r>
      <rPr>
        <vertAlign val="subscript"/>
        <sz val="10"/>
        <rFont val="Comic Sans MS"/>
        <family val="0"/>
      </rPr>
      <t>LSI</t>
    </r>
  </si>
  <si>
    <r>
      <t>pH</t>
    </r>
    <r>
      <rPr>
        <vertAlign val="subscript"/>
        <sz val="10"/>
        <rFont val="Comic Sans MS"/>
        <family val="0"/>
      </rPr>
      <t>EQ(Puckorius)</t>
    </r>
  </si>
  <si>
    <r>
      <t>pH</t>
    </r>
    <r>
      <rPr>
        <vertAlign val="subscript"/>
        <sz val="10"/>
        <rFont val="Comic Sans MS"/>
        <family val="0"/>
      </rPr>
      <t>EQ</t>
    </r>
    <r>
      <rPr>
        <sz val="10"/>
        <rFont val="Comic Sans MS"/>
        <family val="4"/>
      </rPr>
      <t xml:space="preserve"> = 1,465 x Log [Alcalinidad] + 4,54</t>
    </r>
  </si>
  <si>
    <r>
      <t xml:space="preserve">Fuente: </t>
    </r>
    <r>
      <rPr>
        <sz val="8"/>
        <rFont val="Comic Sans MS"/>
        <family val="4"/>
      </rPr>
      <t>T.E., LARSON &amp; R.V., SKOLD, Laboratory Studies Relating Mineral Quality of Water to Corrosion of Steel and Cast Iron (1958) Illinois State Water Survey, Champaign, IL pp. 43-46: ill. ISWS C-71</t>
    </r>
  </si>
  <si>
    <t>µS/cm a 25ºC</t>
  </si>
  <si>
    <t>μS/cm a 25ºC</t>
  </si>
  <si>
    <t>B = -13,12log[T(ºC)+273,2]+34,55</t>
  </si>
  <si>
    <t>(mg CaCO3/L)</t>
  </si>
  <si>
    <t xml:space="preserve">Factor para el cálculo de TDS </t>
  </si>
  <si>
    <t>PSI &gt; 6,5 tendencia a la corrosión</t>
  </si>
  <si>
    <t>PSI &lt; 4,5 tendencia a la incrustación</t>
  </si>
  <si>
    <t>4,0 &lt; RSI &lt; 5,0 fuertemente incrustante</t>
  </si>
  <si>
    <r>
      <t>2(pHsat)</t>
    </r>
    <r>
      <rPr>
        <vertAlign val="subscript"/>
        <sz val="9"/>
        <rFont val="Comic Sans MS"/>
        <family val="4"/>
      </rPr>
      <t xml:space="preserve">LSI </t>
    </r>
    <r>
      <rPr>
        <sz val="9"/>
        <rFont val="Comic Sans MS"/>
        <family val="4"/>
      </rPr>
      <t>- pH</t>
    </r>
    <r>
      <rPr>
        <vertAlign val="subscript"/>
        <sz val="9"/>
        <rFont val="Comic Sans MS"/>
        <family val="4"/>
      </rPr>
      <t>EQ(Puckorius)</t>
    </r>
  </si>
  <si>
    <t>6,0 &lt; RSI &lt; 7,0 ligeram. incrust. o corrosiva</t>
  </si>
  <si>
    <r>
      <t>Cl</t>
    </r>
    <r>
      <rPr>
        <vertAlign val="superscript"/>
        <sz val="10"/>
        <rFont val="Comic Sans MS"/>
        <family val="0"/>
      </rPr>
      <t>-</t>
    </r>
  </si>
  <si>
    <t>baja</t>
  </si>
  <si>
    <t>media</t>
  </si>
  <si>
    <t>alta</t>
  </si>
  <si>
    <t>muy alta</t>
  </si>
  <si>
    <t>24,6 - 41</t>
  </si>
  <si>
    <t>41 - 98,4</t>
  </si>
  <si>
    <t>98,4 - 147,6</t>
  </si>
  <si>
    <r>
      <t>meq Ca</t>
    </r>
    <r>
      <rPr>
        <vertAlign val="superscript"/>
        <sz val="9"/>
        <rFont val="Comic Sans MS"/>
        <family val="4"/>
      </rPr>
      <t>+2</t>
    </r>
    <r>
      <rPr>
        <sz val="9"/>
        <rFont val="Comic Sans MS"/>
        <family val="4"/>
      </rPr>
      <t>/L</t>
    </r>
  </si>
  <si>
    <r>
      <t>meq Mg</t>
    </r>
    <r>
      <rPr>
        <vertAlign val="superscript"/>
        <sz val="9"/>
        <rFont val="Comic Sans MS"/>
        <family val="4"/>
      </rPr>
      <t>+2</t>
    </r>
    <r>
      <rPr>
        <sz val="9"/>
        <rFont val="Comic Sans MS"/>
        <family val="4"/>
      </rPr>
      <t>/L</t>
    </r>
  </si>
  <si>
    <r>
      <t>mg CaCO</t>
    </r>
    <r>
      <rPr>
        <vertAlign val="subscript"/>
        <sz val="9"/>
        <rFont val="Comic Sans MS"/>
        <family val="4"/>
      </rPr>
      <t>3</t>
    </r>
    <r>
      <rPr>
        <sz val="9"/>
        <rFont val="Comic Sans MS"/>
        <family val="4"/>
      </rPr>
      <t>/L</t>
    </r>
  </si>
  <si>
    <t>0 - 50</t>
  </si>
  <si>
    <t>50 - 150</t>
  </si>
  <si>
    <t>150 - 300</t>
  </si>
  <si>
    <t>blanda</t>
  </si>
  <si>
    <t>moderadamente dura</t>
  </si>
  <si>
    <t>dura</t>
  </si>
  <si>
    <t>muy dura</t>
  </si>
  <si>
    <t>f (Alk)</t>
  </si>
  <si>
    <t>Dureza</t>
  </si>
  <si>
    <r>
      <t>mg Mg</t>
    </r>
    <r>
      <rPr>
        <vertAlign val="superscript"/>
        <sz val="9"/>
        <rFont val="Comic Sans MS"/>
        <family val="4"/>
      </rPr>
      <t>+2</t>
    </r>
    <r>
      <rPr>
        <sz val="9"/>
        <rFont val="Comic Sans MS"/>
        <family val="4"/>
      </rPr>
      <t>/L</t>
    </r>
  </si>
  <si>
    <t>f (ALK)</t>
  </si>
  <si>
    <t>Datos de partida:</t>
  </si>
  <si>
    <t>factor para el cálculo de los TDS</t>
  </si>
  <si>
    <t>Para el cálculo cada uno de los miembros de la ecuación:</t>
  </si>
  <si>
    <t>siendo,</t>
  </si>
  <si>
    <t>LSI ó Indice de Saturación (Standard Methods 2330-B) [1]</t>
  </si>
  <si>
    <r>
      <t>pHsat</t>
    </r>
    <r>
      <rPr>
        <vertAlign val="subscript"/>
        <sz val="10"/>
        <rFont val="Comic Sans MS"/>
        <family val="0"/>
      </rPr>
      <t>LSI</t>
    </r>
  </si>
  <si>
    <r>
      <t>LaI = ([Cl</t>
    </r>
    <r>
      <rPr>
        <vertAlign val="superscript"/>
        <sz val="10"/>
        <rFont val="Comic Sans MS"/>
        <family val="0"/>
      </rPr>
      <t>-</t>
    </r>
    <r>
      <rPr>
        <sz val="10"/>
        <rFont val="Comic Sans MS"/>
        <family val="4"/>
      </rPr>
      <t>] + [SO</t>
    </r>
    <r>
      <rPr>
        <vertAlign val="subscript"/>
        <sz val="10"/>
        <rFont val="Comic Sans MS"/>
        <family val="0"/>
      </rPr>
      <t>4</t>
    </r>
    <r>
      <rPr>
        <vertAlign val="superscript"/>
        <sz val="10"/>
        <rFont val="Comic Sans MS"/>
        <family val="0"/>
      </rPr>
      <t>2-</t>
    </r>
    <r>
      <rPr>
        <sz val="10"/>
        <rFont val="Comic Sans MS"/>
        <family val="4"/>
      </rPr>
      <t>])/([HCO</t>
    </r>
    <r>
      <rPr>
        <vertAlign val="subscript"/>
        <sz val="10"/>
        <rFont val="Comic Sans MS"/>
        <family val="0"/>
      </rPr>
      <t>3</t>
    </r>
    <r>
      <rPr>
        <vertAlign val="superscript"/>
        <sz val="10"/>
        <rFont val="Comic Sans MS"/>
        <family val="0"/>
      </rPr>
      <t>-</t>
    </r>
    <r>
      <rPr>
        <sz val="10"/>
        <rFont val="Comic Sans MS"/>
        <family val="4"/>
      </rPr>
      <t>] + [CO</t>
    </r>
    <r>
      <rPr>
        <vertAlign val="subscript"/>
        <sz val="10"/>
        <rFont val="Comic Sans MS"/>
        <family val="0"/>
      </rPr>
      <t>3</t>
    </r>
    <r>
      <rPr>
        <vertAlign val="superscript"/>
        <sz val="10"/>
        <rFont val="Comic Sans MS"/>
        <family val="0"/>
      </rPr>
      <t>2-</t>
    </r>
    <r>
      <rPr>
        <sz val="10"/>
        <rFont val="Comic Sans MS"/>
        <family val="4"/>
      </rPr>
      <t>])</t>
    </r>
  </si>
  <si>
    <r>
      <t>Fuente:</t>
    </r>
    <r>
      <rPr>
        <sz val="8"/>
        <rFont val="Comic Sans MS"/>
        <family val="4"/>
      </rPr>
      <t xml:space="preserve"> T.E., LARSON &amp; R.V., SKOLD, Laboratory Studies Relating Mineral Quality of Water to Corrosion of Steel and Cast Iron (1958) Illinois State Water Survey, Champaign, IL pp. 43-46: ill. ISWS C-71</t>
    </r>
  </si>
  <si>
    <r>
      <t>Fuente:</t>
    </r>
    <r>
      <rPr>
        <sz val="8"/>
        <rFont val="Comic Sans MS"/>
        <family val="4"/>
      </rPr>
      <t xml:space="preserve"> J. W. Ryznar, A new index for determining amount of scale formed in water, Journal of the American Water Works Association, V36 #2, pp 472-486, 1949.</t>
    </r>
  </si>
  <si>
    <t xml:space="preserve">     E = [60954/(T+116)]-68,937</t>
  </si>
  <si>
    <t xml:space="preserve">     </t>
  </si>
  <si>
    <t xml:space="preserve">     I= Fuerza iónica</t>
  </si>
  <si>
    <t xml:space="preserve">     T= temperatura del agua,  K (ºC + 273,2)</t>
  </si>
  <si>
    <t xml:space="preserve">     E = Constante dieléctrica</t>
  </si>
  <si>
    <t>pK2</t>
  </si>
  <si>
    <t>pKw</t>
  </si>
  <si>
    <t>I (g-mol/l)</t>
  </si>
  <si>
    <t>f (CE)</t>
  </si>
  <si>
    <t>E</t>
  </si>
  <si>
    <t>f (E y T)</t>
  </si>
  <si>
    <t>f (A e I)</t>
  </si>
  <si>
    <t>pfm</t>
  </si>
  <si>
    <t>RSI</t>
  </si>
  <si>
    <t>1,465 x Log [Alk] + 4,54</t>
  </si>
  <si>
    <t>PSI</t>
  </si>
  <si>
    <t>mg/L</t>
  </si>
  <si>
    <t>cloruros</t>
  </si>
  <si>
    <t>sulfatos</t>
  </si>
  <si>
    <t>bicarbonatos</t>
  </si>
  <si>
    <t>carbonatos</t>
  </si>
  <si>
    <t>NOTAS:</t>
  </si>
  <si>
    <t>meq/L</t>
  </si>
  <si>
    <t>ÍNDICE DE RYZNAR, RSI</t>
  </si>
  <si>
    <r>
      <t>mg CO</t>
    </r>
    <r>
      <rPr>
        <vertAlign val="subscript"/>
        <sz val="9"/>
        <rFont val="Comic Sans MS"/>
        <family val="4"/>
      </rPr>
      <t>3</t>
    </r>
    <r>
      <rPr>
        <vertAlign val="superscript"/>
        <sz val="9"/>
        <rFont val="Comic Sans MS"/>
        <family val="4"/>
      </rPr>
      <t>2-</t>
    </r>
    <r>
      <rPr>
        <sz val="9"/>
        <rFont val="Comic Sans MS"/>
        <family val="4"/>
      </rPr>
      <t>/L</t>
    </r>
  </si>
  <si>
    <r>
      <t>&gt;</t>
    </r>
    <r>
      <rPr>
        <sz val="9"/>
        <rFont val="Comic Sans MS"/>
        <family val="4"/>
      </rPr>
      <t xml:space="preserve"> 300</t>
    </r>
  </si>
  <si>
    <r>
      <t xml:space="preserve">&lt; </t>
    </r>
    <r>
      <rPr>
        <sz val="9"/>
        <rFont val="Comic Sans MS"/>
        <family val="4"/>
      </rPr>
      <t>12,3</t>
    </r>
  </si>
  <si>
    <r>
      <t>&gt;</t>
    </r>
    <r>
      <rPr>
        <sz val="9"/>
        <rFont val="Comic Sans MS"/>
        <family val="4"/>
      </rPr>
      <t xml:space="preserve"> 147,6</t>
    </r>
  </si>
  <si>
    <r>
      <t xml:space="preserve">Fuente: </t>
    </r>
    <r>
      <rPr>
        <sz val="8"/>
        <rFont val="Comic Sans MS"/>
        <family val="4"/>
      </rPr>
      <t>W. F. Langelier, The analytical control of anti-corrosion water treatment, Journal of the American Water Works Association, V28 #10, pp 1500-1521, 1936. W. F. Langelier, Chemical equilibria in water treatment, Journal of the American Water Works Association, V38 #2, pp 169-178, 1946.</t>
    </r>
  </si>
  <si>
    <r>
      <t>mg Ca</t>
    </r>
    <r>
      <rPr>
        <vertAlign val="superscript"/>
        <sz val="10"/>
        <rFont val="Comic Sans MS"/>
        <family val="0"/>
      </rPr>
      <t>+2</t>
    </r>
    <r>
      <rPr>
        <sz val="10"/>
        <rFont val="Comic Sans MS"/>
        <family val="4"/>
      </rPr>
      <t>/L</t>
    </r>
  </si>
  <si>
    <r>
      <t>mg HCO</t>
    </r>
    <r>
      <rPr>
        <vertAlign val="subscript"/>
        <sz val="10"/>
        <rFont val="Comic Sans MS"/>
        <family val="0"/>
      </rPr>
      <t>3</t>
    </r>
    <r>
      <rPr>
        <vertAlign val="superscript"/>
        <sz val="10"/>
        <rFont val="Comic Sans MS"/>
        <family val="0"/>
      </rPr>
      <t>-</t>
    </r>
    <r>
      <rPr>
        <sz val="10"/>
        <rFont val="Comic Sans MS"/>
        <family val="4"/>
      </rPr>
      <t>/L</t>
    </r>
  </si>
  <si>
    <r>
      <t>mgCO</t>
    </r>
    <r>
      <rPr>
        <vertAlign val="subscript"/>
        <sz val="10"/>
        <rFont val="Comic Sans MS"/>
        <family val="0"/>
      </rPr>
      <t>3</t>
    </r>
    <r>
      <rPr>
        <vertAlign val="superscript"/>
        <sz val="10"/>
        <rFont val="Comic Sans MS"/>
        <family val="0"/>
      </rPr>
      <t>2-</t>
    </r>
    <r>
      <rPr>
        <sz val="10"/>
        <rFont val="Comic Sans MS"/>
        <family val="4"/>
      </rPr>
      <t>/L</t>
    </r>
  </si>
  <si>
    <r>
      <t xml:space="preserve"> Ca</t>
    </r>
    <r>
      <rPr>
        <b/>
        <vertAlign val="superscript"/>
        <sz val="10"/>
        <rFont val="Comic Sans MS"/>
        <family val="4"/>
      </rPr>
      <t>+2</t>
    </r>
  </si>
  <si>
    <r>
      <t>pCa</t>
    </r>
    <r>
      <rPr>
        <b/>
        <vertAlign val="superscript"/>
        <sz val="10"/>
        <rFont val="Comic Sans MS"/>
        <family val="4"/>
      </rPr>
      <t>+2</t>
    </r>
  </si>
  <si>
    <r>
      <t>mg CaCO</t>
    </r>
    <r>
      <rPr>
        <vertAlign val="subscript"/>
        <sz val="10"/>
        <rFont val="Comic Sans MS"/>
        <family val="0"/>
      </rPr>
      <t>3</t>
    </r>
    <r>
      <rPr>
        <sz val="10"/>
        <rFont val="Comic Sans MS"/>
        <family val="4"/>
      </rPr>
      <t>/l</t>
    </r>
  </si>
  <si>
    <r>
      <t>pK</t>
    </r>
    <r>
      <rPr>
        <vertAlign val="subscript"/>
        <sz val="10"/>
        <rFont val="Comic Sans MS"/>
        <family val="0"/>
      </rPr>
      <t>SC</t>
    </r>
  </si>
  <si>
    <r>
      <t>pf</t>
    </r>
    <r>
      <rPr>
        <vertAlign val="subscript"/>
        <sz val="10"/>
        <rFont val="Comic Sans MS"/>
        <family val="0"/>
      </rPr>
      <t>m</t>
    </r>
  </si>
  <si>
    <t>Alk</t>
  </si>
  <si>
    <t>A</t>
  </si>
  <si>
    <t>B</t>
  </si>
  <si>
    <t>C</t>
  </si>
  <si>
    <t>D</t>
  </si>
  <si>
    <t>TDS</t>
  </si>
  <si>
    <t>Ca</t>
  </si>
  <si>
    <t>mg CaCO3/l</t>
  </si>
  <si>
    <t>f (Ca)</t>
  </si>
  <si>
    <t>f (ALC)</t>
  </si>
  <si>
    <t>(9.3+A+B)-(C+D)</t>
  </si>
  <si>
    <t>pCa</t>
  </si>
  <si>
    <t xml:space="preserve"> C.E.</t>
  </si>
  <si>
    <t xml:space="preserve"> T</t>
  </si>
  <si>
    <t>factor para TDS</t>
  </si>
  <si>
    <t>pAlk</t>
  </si>
  <si>
    <t>g-mol/L</t>
  </si>
  <si>
    <t>g-equivalentes</t>
  </si>
  <si>
    <t>donde,</t>
  </si>
  <si>
    <t>pH = pH actual del agua</t>
  </si>
  <si>
    <t>Las concentraciones de cada una de las especies que intervienen en la fórmula deben expresarse en equivalentes por millón (epm) o lo que es lo mismo en meq/L.</t>
  </si>
  <si>
    <t>RD 140/2003 ±0,5</t>
  </si>
  <si>
    <t>Método de cálculo:</t>
  </si>
  <si>
    <t xml:space="preserve"> Índice de Ryznar</t>
  </si>
  <si>
    <t>Método de Cálculo:</t>
  </si>
  <si>
    <t>Se define como:</t>
  </si>
  <si>
    <t xml:space="preserve"> Índice de Puckorius (PSI)</t>
  </si>
  <si>
    <r>
      <t>LSI &gt; 0, agua sobresaturada en CaCO</t>
    </r>
    <r>
      <rPr>
        <b/>
        <vertAlign val="subscript"/>
        <sz val="10"/>
        <rFont val="Comic Sans MS"/>
        <family val="4"/>
      </rPr>
      <t xml:space="preserve">3 </t>
    </r>
    <r>
      <rPr>
        <b/>
        <sz val="10"/>
        <rFont val="Comic Sans MS"/>
        <family val="4"/>
      </rPr>
      <t>(incrustante)</t>
    </r>
  </si>
  <si>
    <t>LSI ó Índice de Saturación (RD 140/2003)</t>
  </si>
  <si>
    <r>
      <t>LSI &lt; 0 agua infrasaturada en CaCO</t>
    </r>
    <r>
      <rPr>
        <vertAlign val="subscript"/>
        <sz val="9"/>
        <rFont val="Comic Sans MS"/>
        <family val="4"/>
      </rPr>
      <t>3</t>
    </r>
    <r>
      <rPr>
        <sz val="9"/>
        <rFont val="Comic Sans MS"/>
        <family val="4"/>
      </rPr>
      <t xml:space="preserve"> (corrosiva)</t>
    </r>
  </si>
  <si>
    <t>LSI = 0 agua en equilibrio químico</t>
  </si>
  <si>
    <r>
      <t xml:space="preserve">     pK</t>
    </r>
    <r>
      <rPr>
        <vertAlign val="subscript"/>
        <sz val="10"/>
        <rFont val="Comic Sans MS"/>
        <family val="0"/>
      </rPr>
      <t>2</t>
    </r>
    <r>
      <rPr>
        <sz val="10"/>
        <rFont val="Comic Sans MS"/>
        <family val="4"/>
      </rPr>
      <t xml:space="preserve"> = 107,8871+0,03252849T-5151,79/T-38,92561 log</t>
    </r>
    <r>
      <rPr>
        <vertAlign val="subscript"/>
        <sz val="10"/>
        <rFont val="Comic Sans MS"/>
        <family val="0"/>
      </rPr>
      <t>10</t>
    </r>
    <r>
      <rPr>
        <sz val="10"/>
        <rFont val="Comic Sans MS"/>
        <family val="4"/>
      </rPr>
      <t>T+563713,9/T</t>
    </r>
    <r>
      <rPr>
        <vertAlign val="superscript"/>
        <sz val="10"/>
        <rFont val="Comic Sans MS"/>
        <family val="0"/>
      </rPr>
      <t>2</t>
    </r>
    <r>
      <rPr>
        <sz val="10"/>
        <rFont val="Comic Sans MS"/>
        <family val="4"/>
      </rPr>
      <t>, para un rango de temperatura de 273-373 K</t>
    </r>
  </si>
  <si>
    <t>Nota: Para ampliar la información teórica de cada índice, ir a la hoja correspondiente a dicho índice</t>
  </si>
  <si>
    <t>El índice de Puckorius (Practical Scaling Index) usa el pH de equilibrio en lugar del pH actual del agua para determinar su carácter agresivo o incrustante. De esta manera tiene en cuenta la capacidad tampón del agua. Se trata de un índice con mucha utilidad práctica</t>
  </si>
  <si>
    <t>LSI</t>
  </si>
  <si>
    <t xml:space="preserve">factor para el cálculo de los TDS </t>
  </si>
  <si>
    <t xml:space="preserve">     Alk = Alcalinidad, en equivalentes-g/l. </t>
  </si>
  <si>
    <r>
      <t>Ca</t>
    </r>
    <r>
      <rPr>
        <b/>
        <vertAlign val="superscript"/>
        <sz val="10"/>
        <rFont val="Comic Sans MS"/>
        <family val="4"/>
      </rPr>
      <t>+2</t>
    </r>
  </si>
  <si>
    <r>
      <t>HCO</t>
    </r>
    <r>
      <rPr>
        <b/>
        <vertAlign val="subscript"/>
        <sz val="10"/>
        <rFont val="Comic Sans MS"/>
        <family val="4"/>
      </rPr>
      <t>3</t>
    </r>
    <r>
      <rPr>
        <b/>
        <vertAlign val="superscript"/>
        <sz val="10"/>
        <rFont val="Comic Sans MS"/>
        <family val="4"/>
      </rPr>
      <t>-</t>
    </r>
  </si>
  <si>
    <r>
      <t>CO</t>
    </r>
    <r>
      <rPr>
        <b/>
        <vertAlign val="subscript"/>
        <sz val="10"/>
        <rFont val="Comic Sans MS"/>
        <family val="4"/>
      </rPr>
      <t>3</t>
    </r>
    <r>
      <rPr>
        <b/>
        <vertAlign val="superscript"/>
        <sz val="10"/>
        <rFont val="Comic Sans MS"/>
        <family val="4"/>
      </rPr>
      <t>2-</t>
    </r>
  </si>
  <si>
    <r>
      <t>pH</t>
    </r>
    <r>
      <rPr>
        <vertAlign val="subscript"/>
        <sz val="10"/>
        <rFont val="Comic Sans MS"/>
        <family val="0"/>
      </rPr>
      <t>sat</t>
    </r>
    <r>
      <rPr>
        <sz val="10"/>
        <rFont val="Comic Sans MS"/>
        <family val="4"/>
      </rPr>
      <t>= (9,3 + A + B) - ( C + D )</t>
    </r>
  </si>
  <si>
    <r>
      <t>C = log[Ca(mgCaCO</t>
    </r>
    <r>
      <rPr>
        <vertAlign val="subscript"/>
        <sz val="10"/>
        <rFont val="Comic Sans MS"/>
        <family val="0"/>
      </rPr>
      <t>3</t>
    </r>
    <r>
      <rPr>
        <sz val="10"/>
        <rFont val="Comic Sans MS"/>
        <family val="4"/>
      </rPr>
      <t>/l)]-0,4</t>
    </r>
  </si>
  <si>
    <r>
      <t>D= log AlK(mg CaCO</t>
    </r>
    <r>
      <rPr>
        <vertAlign val="subscript"/>
        <sz val="10"/>
        <rFont val="Comic Sans MS"/>
        <family val="0"/>
      </rPr>
      <t>3</t>
    </r>
    <r>
      <rPr>
        <sz val="10"/>
        <rFont val="Comic Sans MS"/>
        <family val="4"/>
      </rPr>
      <t>/l)</t>
    </r>
  </si>
  <si>
    <t>Magnesio</t>
  </si>
  <si>
    <t>º Franceses</t>
  </si>
  <si>
    <t>º Alemanes</t>
  </si>
  <si>
    <t>º Ingleses</t>
  </si>
  <si>
    <t>INSERTAR LOS DATOS NECESARIOS SEGÚN EL PARÁMETRO QUE QUERAMOS CALCULAR:</t>
  </si>
  <si>
    <t>DUREZA</t>
  </si>
  <si>
    <t>Parámetros de los que depende: HCO3, CO3</t>
  </si>
  <si>
    <t>Parámetros de los que depende: Ca, Mg</t>
  </si>
  <si>
    <t>Parámetros de los que depende: Cl, SO4, HCO3, CO3</t>
  </si>
  <si>
    <t>Parámetros de los que depende: pH, CE, Ca, HCO3, CO3, factor TDS, T</t>
  </si>
  <si>
    <t xml:space="preserve">4,5 &lt; PSI &lt; 6,5, Rango óptimo </t>
  </si>
  <si>
    <t>PSI &lt; 4,5 Tendencia a la incrustación</t>
  </si>
  <si>
    <t>PSI &gt; 6,5 Tendencia a la corrosión</t>
  </si>
  <si>
    <t>ÍNDICE DE PUCKORIUS, PSI (*)</t>
  </si>
  <si>
    <r>
      <t>pH</t>
    </r>
    <r>
      <rPr>
        <vertAlign val="subscript"/>
        <sz val="10"/>
        <rFont val="Comic Sans MS"/>
        <family val="0"/>
      </rPr>
      <t>EQ(Puckorius)</t>
    </r>
  </si>
  <si>
    <r>
      <t>pH-pHsat</t>
    </r>
    <r>
      <rPr>
        <vertAlign val="subscript"/>
        <sz val="9"/>
        <rFont val="Comic Sans MS"/>
        <family val="4"/>
      </rPr>
      <t>LSI</t>
    </r>
  </si>
  <si>
    <t>Parámetros de los que depende: CE, Ca, HCO3, CO3, factor TDS, T</t>
  </si>
  <si>
    <r>
      <t>SO</t>
    </r>
    <r>
      <rPr>
        <vertAlign val="subscript"/>
        <sz val="10"/>
        <rFont val="Comic Sans MS"/>
        <family val="0"/>
      </rPr>
      <t>4</t>
    </r>
    <r>
      <rPr>
        <vertAlign val="superscript"/>
        <sz val="10"/>
        <rFont val="Comic Sans MS"/>
        <family val="0"/>
      </rPr>
      <t>2-</t>
    </r>
  </si>
  <si>
    <r>
      <t>HCO</t>
    </r>
    <r>
      <rPr>
        <vertAlign val="subscript"/>
        <sz val="10"/>
        <rFont val="Comic Sans MS"/>
        <family val="0"/>
      </rPr>
      <t>3</t>
    </r>
    <r>
      <rPr>
        <vertAlign val="superscript"/>
        <sz val="10"/>
        <rFont val="Comic Sans MS"/>
        <family val="0"/>
      </rPr>
      <t>-</t>
    </r>
  </si>
  <si>
    <r>
      <t>CO</t>
    </r>
    <r>
      <rPr>
        <vertAlign val="subscript"/>
        <sz val="10"/>
        <rFont val="Comic Sans MS"/>
        <family val="0"/>
      </rPr>
      <t>3</t>
    </r>
    <r>
      <rPr>
        <vertAlign val="superscript"/>
        <sz val="10"/>
        <rFont val="Comic Sans MS"/>
        <family val="0"/>
      </rPr>
      <t>2-</t>
    </r>
  </si>
  <si>
    <t>Valoración</t>
  </si>
  <si>
    <t>muy baja</t>
  </si>
  <si>
    <r>
      <t xml:space="preserve">Fuentes: </t>
    </r>
    <r>
      <rPr>
        <sz val="8"/>
        <rFont val="Comic Sans MS"/>
        <family val="4"/>
      </rPr>
      <t>[1] 2330-B  Standard Methods for the Examination of Water and Wastewater, 21st Edition, 2005. [2] M. Hernandez, Guía para la remineralización de las aguas desaladas, 2010, Ed. Acuamed-FCCA.</t>
    </r>
  </si>
  <si>
    <r>
      <t>Fuente:</t>
    </r>
    <r>
      <rPr>
        <sz val="8"/>
        <rFont val="Comic Sans MS"/>
        <family val="4"/>
      </rPr>
      <t xml:space="preserve"> [1] W. F. Langelier, The analytical control of anti-corrosion water treatment, Journal of the American Water Works Association, V28 #10, pp 1500-1521, 1936. [2] W. F. Langelier, Chemical equilibria in water treatment, Journal of the American Water Works Association, V38 #2, pp 169-178, 1946.</t>
    </r>
  </si>
  <si>
    <t xml:space="preserve">Fuentes: </t>
  </si>
  <si>
    <t>[1] 2330-B  Standard Methods for the Examination of Water and Wastewater. 21st Edition 2005. ISBN 0-87553-047-8</t>
  </si>
  <si>
    <t>[2] Manuel Hernández Suárez, Guía para la remineralización de las aguas desaladas, Acuamed-Fundación Centro Canario del Agua, 2010, ISBN 978-84-613-8072-5</t>
  </si>
  <si>
    <t>Fundación Centro Canario del Agua</t>
  </si>
  <si>
    <t>I (g-mol/l)*</t>
  </si>
  <si>
    <t>TDS= CE *factor</t>
  </si>
  <si>
    <r>
      <t>pH - pH sat</t>
    </r>
    <r>
      <rPr>
        <vertAlign val="subscript"/>
        <sz val="10"/>
        <rFont val="Comic Sans MS"/>
        <family val="0"/>
      </rPr>
      <t>LSI</t>
    </r>
  </si>
  <si>
    <r>
      <t xml:space="preserve">     pHsat)</t>
    </r>
    <r>
      <rPr>
        <vertAlign val="subscript"/>
        <sz val="10"/>
        <rFont val="Comic Sans MS"/>
        <family val="0"/>
      </rPr>
      <t>LSI</t>
    </r>
    <r>
      <rPr>
        <sz val="10"/>
        <rFont val="Comic Sans MS"/>
        <family val="4"/>
      </rPr>
      <t xml:space="preserve"> = pH de saturación o pH al cual se logra el equilibrio calcocarbónico del agua</t>
    </r>
  </si>
  <si>
    <r>
      <t>pHsat</t>
    </r>
    <r>
      <rPr>
        <vertAlign val="subscript"/>
        <sz val="10"/>
        <rFont val="Comic Sans MS"/>
        <family val="0"/>
      </rPr>
      <t>LSI</t>
    </r>
    <r>
      <rPr>
        <sz val="10"/>
        <rFont val="Comic Sans MS"/>
        <family val="4"/>
      </rPr>
      <t xml:space="preserve"> = pK</t>
    </r>
    <r>
      <rPr>
        <vertAlign val="subscript"/>
        <sz val="10"/>
        <rFont val="Comic Sans MS"/>
        <family val="0"/>
      </rPr>
      <t>2</t>
    </r>
    <r>
      <rPr>
        <sz val="10"/>
        <rFont val="Comic Sans MS"/>
        <family val="4"/>
      </rPr>
      <t xml:space="preserve"> - pK</t>
    </r>
    <r>
      <rPr>
        <vertAlign val="subscript"/>
        <sz val="10"/>
        <rFont val="Comic Sans MS"/>
        <family val="0"/>
      </rPr>
      <t>SC</t>
    </r>
    <r>
      <rPr>
        <sz val="10"/>
        <rFont val="Comic Sans MS"/>
        <family val="4"/>
      </rPr>
      <t xml:space="preserve"> + p[Ca] + p[Alk] + 5pf</t>
    </r>
    <r>
      <rPr>
        <vertAlign val="subscript"/>
        <sz val="10"/>
        <rFont val="Comic Sans MS"/>
        <family val="0"/>
      </rPr>
      <t>m</t>
    </r>
  </si>
  <si>
    <r>
      <t>LSI = pH - pHsat)</t>
    </r>
    <r>
      <rPr>
        <vertAlign val="subscript"/>
        <sz val="10"/>
        <rFont val="Comic Sans MS"/>
        <family val="0"/>
      </rPr>
      <t xml:space="preserve">LSI,     </t>
    </r>
    <r>
      <rPr>
        <sz val="10"/>
        <rFont val="Comic Sans MS"/>
        <family val="4"/>
      </rPr>
      <t>donde</t>
    </r>
  </si>
  <si>
    <t>0,47 permeado</t>
  </si>
  <si>
    <r>
      <t>El índice de Saturación ó LSI, al igual que el Índice de Langelier abreviado, marca la tendencia a la precipitación o disolución de CaCO</t>
    </r>
    <r>
      <rPr>
        <vertAlign val="subscript"/>
        <sz val="10"/>
        <rFont val="Comic Sans MS"/>
        <family val="0"/>
      </rPr>
      <t>3</t>
    </r>
    <r>
      <rPr>
        <sz val="10"/>
        <rFont val="Comic Sans MS"/>
        <family val="4"/>
      </rPr>
      <t>, definiendo así si el agua está sobresaturada, saturada o infrasaturada respecto a esta sal.</t>
    </r>
  </si>
  <si>
    <r>
      <t>LSI &lt; 0, agua infrasaturada en CaCO</t>
    </r>
    <r>
      <rPr>
        <b/>
        <vertAlign val="subscript"/>
        <sz val="10"/>
        <rFont val="Comic Sans MS"/>
        <family val="4"/>
      </rPr>
      <t>3</t>
    </r>
    <r>
      <rPr>
        <b/>
        <sz val="10"/>
        <rFont val="Comic Sans MS"/>
        <family val="4"/>
      </rPr>
      <t xml:space="preserve"> (corrosiva)</t>
    </r>
  </si>
  <si>
    <t>LSI = 0, agua en equilibrio químico</t>
  </si>
  <si>
    <t>Datos de partida (valores introducidos en la hoja "Índices de tendencia precipitación"):</t>
  </si>
  <si>
    <t>Parámetros calculados:</t>
  </si>
  <si>
    <t xml:space="preserve">Se define teóricamente como: </t>
  </si>
  <si>
    <r>
      <t>mg CaCO</t>
    </r>
    <r>
      <rPr>
        <vertAlign val="subscript"/>
        <sz val="9"/>
        <rFont val="Comic Sans MS"/>
        <family val="4"/>
      </rPr>
      <t>3</t>
    </r>
    <r>
      <rPr>
        <sz val="9"/>
        <rFont val="Comic Sans MS"/>
        <family val="4"/>
      </rPr>
      <t>/l</t>
    </r>
  </si>
  <si>
    <r>
      <t>mg Ca</t>
    </r>
    <r>
      <rPr>
        <vertAlign val="superscript"/>
        <sz val="9"/>
        <rFont val="Comic Sans MS"/>
        <family val="4"/>
      </rPr>
      <t>+2</t>
    </r>
    <r>
      <rPr>
        <sz val="9"/>
        <rFont val="Comic Sans MS"/>
        <family val="4"/>
      </rPr>
      <t>/L</t>
    </r>
  </si>
  <si>
    <r>
      <t>mg HCO</t>
    </r>
    <r>
      <rPr>
        <vertAlign val="subscript"/>
        <sz val="9"/>
        <rFont val="Comic Sans MS"/>
        <family val="4"/>
      </rPr>
      <t>3</t>
    </r>
    <r>
      <rPr>
        <vertAlign val="superscript"/>
        <sz val="9"/>
        <rFont val="Comic Sans MS"/>
        <family val="4"/>
      </rPr>
      <t>-</t>
    </r>
    <r>
      <rPr>
        <sz val="9"/>
        <rFont val="Comic Sans MS"/>
        <family val="4"/>
      </rPr>
      <t>/L</t>
    </r>
  </si>
  <si>
    <r>
      <t>mgCO</t>
    </r>
    <r>
      <rPr>
        <vertAlign val="subscript"/>
        <sz val="9"/>
        <rFont val="Comic Sans MS"/>
        <family val="4"/>
      </rPr>
      <t>3</t>
    </r>
    <r>
      <rPr>
        <vertAlign val="superscript"/>
        <sz val="9"/>
        <rFont val="Comic Sans MS"/>
        <family val="4"/>
      </rPr>
      <t>2-</t>
    </r>
    <r>
      <rPr>
        <sz val="9"/>
        <rFont val="Comic Sans MS"/>
        <family val="4"/>
      </rPr>
      <t>/L</t>
    </r>
  </si>
  <si>
    <t>pH</t>
  </si>
  <si>
    <t>CE</t>
  </si>
  <si>
    <t>Calcio</t>
  </si>
  <si>
    <t>Bicarbonatos</t>
  </si>
  <si>
    <t>Carbonatos</t>
  </si>
  <si>
    <t>Temperatura</t>
  </si>
  <si>
    <t>ºC</t>
  </si>
  <si>
    <t>Se establece para una temperatura determinada y mide el estado de equilibrio del agua en relación con su carácter incrustante o corrosivo.</t>
  </si>
  <si>
    <t xml:space="preserve"> Se define teóricamente como: </t>
  </si>
  <si>
    <t>A = 1/10(log[TDS]-1)</t>
  </si>
  <si>
    <t>B = -13,12log[T(ºC)+273]+34,55</t>
  </si>
  <si>
    <t>mg/l</t>
  </si>
  <si>
    <t>f (TDS)</t>
  </si>
  <si>
    <t>f (T)</t>
  </si>
  <si>
    <r>
      <t xml:space="preserve">Fuente: [1] </t>
    </r>
    <r>
      <rPr>
        <sz val="8"/>
        <rFont val="Comic Sans MS"/>
        <family val="4"/>
      </rPr>
      <t>R. Puckorius and J. M. Brooke, A new practical index for calcium carbonate scale prediction in cooling systems, Corrosion, pp 280-284, April 1991; [2] P. R. Puckorius and G. R. Loretitsch, Cooling water scale and scaling indices: what they mean - how to use them effectively - how they can cut treatment costs, Paper IWC-47, International Water Conference, Pittsburgh, PA, 1999.</t>
    </r>
  </si>
  <si>
    <r>
      <t>2pHsat)</t>
    </r>
    <r>
      <rPr>
        <vertAlign val="subscript"/>
        <sz val="9"/>
        <rFont val="Comic Sans MS"/>
        <family val="4"/>
      </rPr>
      <t xml:space="preserve">Lang-simplif. </t>
    </r>
    <r>
      <rPr>
        <sz val="9"/>
        <rFont val="Comic Sans MS"/>
        <family val="4"/>
      </rPr>
      <t>-pH</t>
    </r>
  </si>
  <si>
    <t>ÍNDICE DE LARSON-SKOLD LaI</t>
  </si>
  <si>
    <r>
      <t>0,70 bicarbonatada ( con HCO</t>
    </r>
    <r>
      <rPr>
        <vertAlign val="subscript"/>
        <sz val="9"/>
        <rFont val="Comic Sans MS"/>
        <family val="4"/>
      </rPr>
      <t>3</t>
    </r>
    <r>
      <rPr>
        <sz val="9"/>
        <rFont val="Comic Sans MS"/>
        <family val="4"/>
      </rPr>
      <t xml:space="preserve"> </t>
    </r>
    <r>
      <rPr>
        <sz val="9"/>
        <rFont val="Arial"/>
        <family val="2"/>
      </rPr>
      <t>&gt;</t>
    </r>
    <r>
      <rPr>
        <sz val="9"/>
        <rFont val="Comic Sans MS"/>
        <family val="4"/>
      </rPr>
      <t xml:space="preserve"> 600 mg/L)</t>
    </r>
  </si>
  <si>
    <t>0,56 remineralizada</t>
  </si>
  <si>
    <r>
      <t>pHsat)</t>
    </r>
    <r>
      <rPr>
        <vertAlign val="subscript"/>
        <sz val="10"/>
        <rFont val="Comic Sans MS"/>
        <family val="0"/>
      </rPr>
      <t>simplificado</t>
    </r>
  </si>
  <si>
    <r>
      <t>Langelier</t>
    </r>
    <r>
      <rPr>
        <vertAlign val="subscript"/>
        <sz val="10"/>
        <rFont val="Arial"/>
        <family val="2"/>
      </rPr>
      <t>simplif.</t>
    </r>
    <r>
      <rPr>
        <sz val="11"/>
        <rFont val="Arial"/>
        <family val="0"/>
      </rPr>
      <t>*</t>
    </r>
  </si>
  <si>
    <r>
      <t xml:space="preserve">Lang. </t>
    </r>
    <r>
      <rPr>
        <vertAlign val="subscript"/>
        <sz val="9"/>
        <rFont val="Comic Sans MS"/>
        <family val="4"/>
      </rPr>
      <t>simplif.</t>
    </r>
    <r>
      <rPr>
        <sz val="9"/>
        <rFont val="Comic Sans MS"/>
        <family val="4"/>
      </rPr>
      <t xml:space="preserve"> &lt; 0 agua con tendencia corrosiva</t>
    </r>
  </si>
  <si>
    <t>ÍNDICE DE LANGELIER (simplificado)</t>
  </si>
  <si>
    <r>
      <t>pH - pHsat</t>
    </r>
    <r>
      <rPr>
        <vertAlign val="subscript"/>
        <sz val="10"/>
        <rFont val="Comic Sans MS"/>
        <family val="0"/>
      </rPr>
      <t>simplif.</t>
    </r>
  </si>
  <si>
    <r>
      <t xml:space="preserve">Lang. </t>
    </r>
    <r>
      <rPr>
        <vertAlign val="subscript"/>
        <sz val="9"/>
        <rFont val="Comic Sans MS"/>
        <family val="4"/>
      </rPr>
      <t>simplif.</t>
    </r>
    <r>
      <rPr>
        <sz val="9"/>
        <rFont val="Comic Sans MS"/>
        <family val="4"/>
      </rPr>
      <t xml:space="preserve"> = 0 agua equilibrada</t>
    </r>
  </si>
  <si>
    <r>
      <t xml:space="preserve">Lang. </t>
    </r>
    <r>
      <rPr>
        <vertAlign val="subscript"/>
        <sz val="9"/>
        <rFont val="Comic Sans MS"/>
        <family val="4"/>
      </rPr>
      <t>simplif.</t>
    </r>
    <r>
      <rPr>
        <sz val="9"/>
        <rFont val="Comic Sans MS"/>
        <family val="4"/>
      </rPr>
      <t xml:space="preserve"> &gt; 0 agua con tendencia incrustante</t>
    </r>
  </si>
  <si>
    <t>Cálculo de los Índices de Langelier (Simplificado) LSI (SM2330), Ryznar, Puckorius, Larson, Dureza y Alcalinidad.</t>
  </si>
  <si>
    <t xml:space="preserve"> Índice de Langelier, (Simplificado) (1936)</t>
  </si>
  <si>
    <t>LSI (simplificado)</t>
  </si>
  <si>
    <r>
      <t>LSI (simplificado) = pH - pHsat)</t>
    </r>
    <r>
      <rPr>
        <vertAlign val="subscript"/>
        <sz val="10"/>
        <rFont val="Comic Sans MS"/>
        <family val="0"/>
      </rPr>
      <t>simplificado</t>
    </r>
  </si>
  <si>
    <t xml:space="preserve"> Si LSI (simplificado) &lt; 0, agua con tendencia a ser corrosiva</t>
  </si>
  <si>
    <t xml:space="preserve"> Si LSI (simplificado) &gt; 0, agua con tendencia incrustante</t>
  </si>
  <si>
    <t xml:space="preserve"> Si LSI (simplificado) = 0, agua en equilibrio químico</t>
  </si>
  <si>
    <r>
      <t>pHs)</t>
    </r>
    <r>
      <rPr>
        <vertAlign val="subscript"/>
        <sz val="10"/>
        <rFont val="Comic Sans MS"/>
        <family val="0"/>
      </rPr>
      <t xml:space="preserve"> simplificado</t>
    </r>
  </si>
  <si>
    <r>
      <t>pH - pHsat)</t>
    </r>
    <r>
      <rPr>
        <vertAlign val="subscript"/>
        <sz val="10"/>
        <rFont val="Comic Sans MS"/>
        <family val="0"/>
      </rPr>
      <t>simplificado</t>
    </r>
  </si>
  <si>
    <t>Cálculo de los Índices de Langelier (simplificado) Saturación (SM2330 revisado), Ryznar, Puckorius, Larson-Skold, Dureza y Alcalinidad.</t>
  </si>
  <si>
    <t>Cálculo de los Índices de Langelier (simplificado), LSI (SM2330), Ryznar, Puckorius, Larson-Skold, Dureza y Alcalinidad.</t>
  </si>
  <si>
    <r>
      <t>LSI &gt; 0 agua sobresaturada en CaCO</t>
    </r>
    <r>
      <rPr>
        <vertAlign val="subscript"/>
        <sz val="9"/>
        <rFont val="Comic Sans MS"/>
        <family val="4"/>
      </rPr>
      <t xml:space="preserve">3 </t>
    </r>
    <r>
      <rPr>
        <sz val="9"/>
        <rFont val="Comic Sans MS"/>
        <family val="4"/>
      </rPr>
      <t>(incrustante)</t>
    </r>
  </si>
  <si>
    <t>(*) Este método no es recomendado para analizar el cumplimiento del RD 140/2003, [2].</t>
  </si>
  <si>
    <t>(*) El valor de coeficiente de correlación para el cálculo de I a partir de la CE ha sido corregido para aguas desaladas y remineralizadas [2]. El LSI resultante es aproximadamente 0,02 mayor que el obtenido por el SM2330 sin corrección (ver pestaña específica).</t>
  </si>
  <si>
    <t>Última revisión: 20 de abril de 2010</t>
  </si>
  <si>
    <t>LSI **</t>
  </si>
</sst>
</file>

<file path=xl/styles.xml><?xml version="1.0" encoding="utf-8"?>
<styleSheet xmlns="http://schemas.openxmlformats.org/spreadsheetml/2006/main">
  <numFmts count="4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"/>
    <numFmt numFmtId="189" formatCode="0.0000"/>
    <numFmt numFmtId="190" formatCode="0.000000"/>
    <numFmt numFmtId="191" formatCode="0.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"/>
    <numFmt numFmtId="197" formatCode="0.0000000"/>
    <numFmt numFmtId="198" formatCode="0.00000000"/>
  </numFmts>
  <fonts count="25"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vertAlign val="subscript"/>
      <sz val="9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vertAlign val="superscript"/>
      <sz val="9"/>
      <name val="Comic Sans MS"/>
      <family val="4"/>
    </font>
    <font>
      <sz val="12"/>
      <name val="Comic Sans MS"/>
      <family val="4"/>
    </font>
    <font>
      <sz val="9"/>
      <name val="Arial"/>
      <family val="2"/>
    </font>
    <font>
      <vertAlign val="superscript"/>
      <sz val="10"/>
      <name val="Comic Sans MS"/>
      <family val="0"/>
    </font>
    <font>
      <vertAlign val="subscript"/>
      <sz val="10"/>
      <name val="Comic Sans MS"/>
      <family val="0"/>
    </font>
    <font>
      <b/>
      <u val="single"/>
      <sz val="10"/>
      <name val="Comic Sans MS"/>
      <family val="0"/>
    </font>
    <font>
      <u val="single"/>
      <sz val="10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vertAlign val="superscript"/>
      <sz val="10"/>
      <name val="Comic Sans MS"/>
      <family val="4"/>
    </font>
    <font>
      <b/>
      <vertAlign val="subscript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vertAlign val="superscript"/>
      <sz val="8"/>
      <name val="Comic Sans MS"/>
      <family val="4"/>
    </font>
    <font>
      <vertAlign val="subscript"/>
      <sz val="8"/>
      <name val="Comic Sans MS"/>
      <family val="4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 applyProtection="1">
      <alignment horizontal="right" vertical="center"/>
      <protection/>
    </xf>
    <xf numFmtId="2" fontId="2" fillId="2" borderId="2" xfId="0" applyNumberFormat="1" applyFont="1" applyFill="1" applyBorder="1" applyAlignment="1" applyProtection="1">
      <alignment horizontal="center"/>
      <protection/>
    </xf>
    <xf numFmtId="2" fontId="2" fillId="2" borderId="3" xfId="0" applyNumberFormat="1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18" fillId="2" borderId="0" xfId="0" applyFont="1" applyFill="1" applyBorder="1" applyAlignment="1">
      <alignment vertical="justify"/>
    </xf>
    <xf numFmtId="0" fontId="6" fillId="3" borderId="6" xfId="0" applyFont="1" applyFill="1" applyBorder="1" applyAlignment="1" applyProtection="1">
      <alignment horizontal="left"/>
      <protection/>
    </xf>
    <xf numFmtId="0" fontId="6" fillId="3" borderId="1" xfId="0" applyFont="1" applyFill="1" applyBorder="1" applyAlignment="1" applyProtection="1">
      <alignment horizontal="left"/>
      <protection/>
    </xf>
    <xf numFmtId="0" fontId="6" fillId="4" borderId="6" xfId="0" applyFont="1" applyFill="1" applyBorder="1" applyAlignment="1" applyProtection="1">
      <alignment horizontal="left"/>
      <protection/>
    </xf>
    <xf numFmtId="0" fontId="6" fillId="3" borderId="0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 vertical="center"/>
      <protection/>
    </xf>
    <xf numFmtId="0" fontId="2" fillId="3" borderId="0" xfId="0" applyFont="1" applyFill="1" applyBorder="1" applyAlignment="1" applyProtection="1">
      <alignment/>
      <protection/>
    </xf>
    <xf numFmtId="0" fontId="2" fillId="2" borderId="0" xfId="0" applyFont="1" applyFill="1" applyAlignment="1">
      <alignment/>
    </xf>
    <xf numFmtId="2" fontId="2" fillId="3" borderId="2" xfId="0" applyNumberFormat="1" applyFont="1" applyFill="1" applyBorder="1" applyAlignment="1" applyProtection="1">
      <alignment/>
      <protection/>
    </xf>
    <xf numFmtId="2" fontId="2" fillId="3" borderId="3" xfId="0" applyNumberFormat="1" applyFont="1" applyFill="1" applyBorder="1" applyAlignment="1" applyProtection="1">
      <alignment/>
      <protection/>
    </xf>
    <xf numFmtId="2" fontId="2" fillId="3" borderId="0" xfId="0" applyNumberFormat="1" applyFont="1" applyFill="1" applyBorder="1" applyAlignment="1" applyProtection="1">
      <alignment/>
      <protection/>
    </xf>
    <xf numFmtId="2" fontId="2" fillId="2" borderId="2" xfId="0" applyNumberFormat="1" applyFont="1" applyFill="1" applyBorder="1" applyAlignment="1" applyProtection="1">
      <alignment horizontal="center" vertical="center"/>
      <protection/>
    </xf>
    <xf numFmtId="188" fontId="2" fillId="2" borderId="2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righ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2" fontId="2" fillId="2" borderId="2" xfId="0" applyNumberFormat="1" applyFont="1" applyFill="1" applyBorder="1" applyAlignment="1" applyProtection="1">
      <alignment horizontal="right" vertical="center"/>
      <protection/>
    </xf>
    <xf numFmtId="1" fontId="2" fillId="2" borderId="2" xfId="0" applyNumberFormat="1" applyFont="1" applyFill="1" applyBorder="1" applyAlignment="1" applyProtection="1">
      <alignment horizontal="right"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2" fontId="3" fillId="4" borderId="7" xfId="0" applyNumberFormat="1" applyFont="1" applyFill="1" applyBorder="1" applyAlignment="1" applyProtection="1">
      <alignment/>
      <protection/>
    </xf>
    <xf numFmtId="0" fontId="3" fillId="4" borderId="8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1" fontId="2" fillId="2" borderId="7" xfId="0" applyNumberFormat="1" applyFont="1" applyFill="1" applyBorder="1" applyAlignment="1" applyProtection="1">
      <alignment horizontal="center"/>
      <protection/>
    </xf>
    <xf numFmtId="0" fontId="6" fillId="2" borderId="4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1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left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2" fontId="2" fillId="2" borderId="7" xfId="0" applyNumberFormat="1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/>
      <protection/>
    </xf>
    <xf numFmtId="2" fontId="2" fillId="2" borderId="0" xfId="0" applyNumberFormat="1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2" borderId="10" xfId="0" applyFont="1" applyFill="1" applyBorder="1" applyAlignment="1" applyProtection="1">
      <alignment horizontal="center"/>
      <protection/>
    </xf>
    <xf numFmtId="2" fontId="2" fillId="2" borderId="11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2" fontId="2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/>
      <protection/>
    </xf>
    <xf numFmtId="0" fontId="3" fillId="2" borderId="6" xfId="0" applyFont="1" applyFill="1" applyBorder="1" applyAlignment="1" applyProtection="1">
      <alignment/>
      <protection/>
    </xf>
    <xf numFmtId="0" fontId="2" fillId="2" borderId="6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/>
      <protection/>
    </xf>
    <xf numFmtId="0" fontId="3" fillId="5" borderId="9" xfId="0" applyFont="1" applyFill="1" applyBorder="1" applyAlignment="1" applyProtection="1">
      <alignment horizontal="left"/>
      <protection/>
    </xf>
    <xf numFmtId="0" fontId="2" fillId="5" borderId="10" xfId="0" applyFont="1" applyFill="1" applyBorder="1" applyAlignment="1" applyProtection="1">
      <alignment horizontal="center"/>
      <protection/>
    </xf>
    <xf numFmtId="2" fontId="3" fillId="5" borderId="11" xfId="0" applyNumberFormat="1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18" fillId="2" borderId="0" xfId="0" applyFont="1" applyFill="1" applyAlignment="1" applyProtection="1">
      <alignment vertical="justify"/>
      <protection/>
    </xf>
    <xf numFmtId="0" fontId="19" fillId="2" borderId="0" xfId="0" applyFont="1" applyFill="1" applyBorder="1" applyAlignment="1" applyProtection="1">
      <alignment horizontal="center" vertical="justify"/>
      <protection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2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0" fontId="19" fillId="2" borderId="12" xfId="0" applyFont="1" applyFill="1" applyBorder="1" applyAlignment="1" applyProtection="1">
      <alignment horizontal="center" vertical="justify"/>
      <protection/>
    </xf>
    <xf numFmtId="0" fontId="2" fillId="6" borderId="7" xfId="0" applyFont="1" applyFill="1" applyBorder="1" applyAlignment="1" applyProtection="1">
      <alignment/>
      <protection locked="0"/>
    </xf>
    <xf numFmtId="0" fontId="2" fillId="6" borderId="2" xfId="0" applyFont="1" applyFill="1" applyBorder="1" applyAlignment="1" applyProtection="1">
      <alignment vertical="center"/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4" fontId="3" fillId="2" borderId="0" xfId="0" applyNumberFormat="1" applyFont="1" applyFill="1" applyAlignment="1" applyProtection="1">
      <alignment vertical="justify"/>
      <protection locked="0"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2" fillId="2" borderId="8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left" vertical="justify"/>
      <protection/>
    </xf>
    <xf numFmtId="0" fontId="2" fillId="2" borderId="0" xfId="0" applyFont="1" applyFill="1" applyBorder="1" applyAlignment="1" applyProtection="1">
      <alignment horizontal="left" vertical="justify"/>
      <protection/>
    </xf>
    <xf numFmtId="0" fontId="2" fillId="2" borderId="5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/>
      <protection/>
    </xf>
    <xf numFmtId="4" fontId="3" fillId="2" borderId="0" xfId="0" applyNumberFormat="1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vertical="justify"/>
      <protection/>
    </xf>
    <xf numFmtId="0" fontId="2" fillId="2" borderId="13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2" fillId="2" borderId="14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 horizontal="justify" vertical="top"/>
      <protection/>
    </xf>
    <xf numFmtId="0" fontId="1" fillId="2" borderId="0" xfId="0" applyFont="1" applyFill="1" applyBorder="1" applyAlignment="1" applyProtection="1">
      <alignment vertical="justify"/>
      <protection/>
    </xf>
    <xf numFmtId="0" fontId="6" fillId="2" borderId="6" xfId="0" applyFont="1" applyFill="1" applyBorder="1" applyAlignment="1" applyProtection="1">
      <alignment/>
      <protection/>
    </xf>
    <xf numFmtId="1" fontId="2" fillId="2" borderId="7" xfId="0" applyNumberFormat="1" applyFont="1" applyFill="1" applyBorder="1" applyAlignment="1" applyProtection="1">
      <alignment/>
      <protection/>
    </xf>
    <xf numFmtId="1" fontId="2" fillId="2" borderId="13" xfId="0" applyNumberFormat="1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left"/>
      <protection/>
    </xf>
    <xf numFmtId="2" fontId="2" fillId="2" borderId="7" xfId="0" applyNumberFormat="1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 horizontal="center"/>
      <protection/>
    </xf>
    <xf numFmtId="2" fontId="3" fillId="5" borderId="11" xfId="0" applyNumberFormat="1" applyFont="1" applyFill="1" applyBorder="1" applyAlignment="1" applyProtection="1">
      <alignment/>
      <protection/>
    </xf>
    <xf numFmtId="2" fontId="2" fillId="0" borderId="13" xfId="0" applyNumberFormat="1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  <xf numFmtId="0" fontId="6" fillId="2" borderId="10" xfId="0" applyFont="1" applyFill="1" applyBorder="1" applyAlignment="1" applyProtection="1">
      <alignment/>
      <protection/>
    </xf>
    <xf numFmtId="2" fontId="2" fillId="2" borderId="11" xfId="0" applyNumberFormat="1" applyFont="1" applyFill="1" applyBorder="1" applyAlignment="1" applyProtection="1">
      <alignment/>
      <protection/>
    </xf>
    <xf numFmtId="2" fontId="2" fillId="2" borderId="0" xfId="0" applyNumberFormat="1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 horizontal="left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188" fontId="2" fillId="2" borderId="7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/>
      <protection/>
    </xf>
    <xf numFmtId="2" fontId="2" fillId="2" borderId="2" xfId="0" applyNumberFormat="1" applyFont="1" applyFill="1" applyBorder="1" applyAlignment="1" applyProtection="1">
      <alignment/>
      <protection/>
    </xf>
    <xf numFmtId="2" fontId="2" fillId="2" borderId="13" xfId="0" applyNumberFormat="1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/>
      <protection/>
    </xf>
    <xf numFmtId="2" fontId="2" fillId="2" borderId="3" xfId="0" applyNumberFormat="1" applyFont="1" applyFill="1" applyBorder="1" applyAlignment="1" applyProtection="1">
      <alignment/>
      <protection/>
    </xf>
    <xf numFmtId="0" fontId="6" fillId="2" borderId="13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2" fontId="2" fillId="2" borderId="3" xfId="0" applyNumberFormat="1" applyFont="1" applyFill="1" applyBorder="1" applyAlignment="1" applyProtection="1">
      <alignment horizontal="right" vertical="center"/>
      <protection/>
    </xf>
    <xf numFmtId="0" fontId="3" fillId="5" borderId="9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189" fontId="2" fillId="2" borderId="0" xfId="0" applyNumberFormat="1" applyFont="1" applyFill="1" applyBorder="1" applyAlignment="1" applyProtection="1">
      <alignment/>
      <protection/>
    </xf>
    <xf numFmtId="0" fontId="3" fillId="5" borderId="9" xfId="0" applyFont="1" applyFill="1" applyBorder="1" applyAlignment="1" applyProtection="1">
      <alignment horizontal="left" vertical="center" wrapText="1"/>
      <protection/>
    </xf>
    <xf numFmtId="0" fontId="6" fillId="5" borderId="10" xfId="0" applyFont="1" applyFill="1" applyBorder="1" applyAlignment="1" applyProtection="1">
      <alignment horizontal="center" vertical="center" wrapText="1"/>
      <protection/>
    </xf>
    <xf numFmtId="188" fontId="3" fillId="5" borderId="11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horizontal="left" vertical="center" wrapText="1"/>
      <protection/>
    </xf>
    <xf numFmtId="0" fontId="2" fillId="2" borderId="14" xfId="0" applyFont="1" applyFill="1" applyBorder="1" applyAlignment="1" applyProtection="1">
      <alignment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18" fillId="2" borderId="10" xfId="0" applyFont="1" applyFill="1" applyBorder="1" applyAlignment="1" applyProtection="1">
      <alignment horizontal="center"/>
      <protection/>
    </xf>
    <xf numFmtId="0" fontId="2" fillId="5" borderId="10" xfId="0" applyFont="1" applyFill="1" applyBorder="1" applyAlignment="1" applyProtection="1">
      <alignment/>
      <protection/>
    </xf>
    <xf numFmtId="0" fontId="6" fillId="2" borderId="13" xfId="0" applyFont="1" applyFill="1" applyBorder="1" applyAlignment="1" applyProtection="1">
      <alignment vertical="center" wrapText="1"/>
      <protection/>
    </xf>
    <xf numFmtId="0" fontId="18" fillId="2" borderId="0" xfId="0" applyFont="1" applyFill="1" applyBorder="1" applyAlignment="1" applyProtection="1">
      <alignment horizontal="right"/>
      <protection/>
    </xf>
    <xf numFmtId="0" fontId="18" fillId="2" borderId="0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0" fontId="6" fillId="2" borderId="10" xfId="0" applyFont="1" applyFill="1" applyBorder="1" applyAlignment="1" applyProtection="1">
      <alignment horizontal="left"/>
      <protection/>
    </xf>
    <xf numFmtId="0" fontId="6" fillId="5" borderId="10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left" vertical="center" wrapText="1"/>
      <protection/>
    </xf>
    <xf numFmtId="0" fontId="18" fillId="2" borderId="13" xfId="0" applyFont="1" applyFill="1" applyBorder="1" applyAlignment="1" applyProtection="1">
      <alignment vertical="justify"/>
      <protection/>
    </xf>
    <xf numFmtId="0" fontId="3" fillId="2" borderId="0" xfId="0" applyFont="1" applyFill="1" applyAlignment="1" applyProtection="1">
      <alignment horizontal="justify" vertical="justify"/>
      <protection/>
    </xf>
    <xf numFmtId="0" fontId="18" fillId="2" borderId="0" xfId="0" applyFont="1" applyFill="1" applyBorder="1" applyAlignment="1" applyProtection="1">
      <alignment vertical="justify"/>
      <protection/>
    </xf>
    <xf numFmtId="0" fontId="19" fillId="2" borderId="14" xfId="0" applyFont="1" applyFill="1" applyBorder="1" applyAlignment="1" applyProtection="1">
      <alignment vertical="top" wrapText="1"/>
      <protection/>
    </xf>
    <xf numFmtId="0" fontId="18" fillId="2" borderId="13" xfId="0" applyFont="1" applyFill="1" applyBorder="1" applyAlignment="1" applyProtection="1">
      <alignment vertical="top" wrapText="1"/>
      <protection/>
    </xf>
    <xf numFmtId="0" fontId="18" fillId="2" borderId="14" xfId="0" applyFont="1" applyFill="1" applyBorder="1" applyAlignment="1" applyProtection="1">
      <alignment vertical="top" wrapText="1"/>
      <protection/>
    </xf>
    <xf numFmtId="0" fontId="0" fillId="2" borderId="13" xfId="0" applyFill="1" applyBorder="1" applyAlignment="1" applyProtection="1">
      <alignment vertical="justify"/>
      <protection/>
    </xf>
    <xf numFmtId="0" fontId="3" fillId="2" borderId="13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/>
      <protection/>
    </xf>
    <xf numFmtId="2" fontId="2" fillId="3" borderId="7" xfId="0" applyNumberFormat="1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2" fontId="3" fillId="5" borderId="11" xfId="0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12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8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vertical="justify"/>
      <protection/>
    </xf>
    <xf numFmtId="0" fontId="8" fillId="2" borderId="0" xfId="0" applyFont="1" applyFill="1" applyBorder="1" applyAlignment="1" applyProtection="1">
      <alignment/>
      <protection/>
    </xf>
    <xf numFmtId="4" fontId="3" fillId="2" borderId="0" xfId="0" applyNumberFormat="1" applyFont="1" applyFill="1" applyAlignment="1" applyProtection="1">
      <alignment vertical="justify"/>
      <protection/>
    </xf>
    <xf numFmtId="0" fontId="2" fillId="2" borderId="6" xfId="0" applyFont="1" applyFill="1" applyBorder="1" applyAlignment="1" applyProtection="1">
      <alignment/>
      <protection/>
    </xf>
    <xf numFmtId="189" fontId="2" fillId="2" borderId="7" xfId="0" applyNumberFormat="1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196" fontId="2" fillId="2" borderId="2" xfId="0" applyNumberFormat="1" applyFont="1" applyFill="1" applyBorder="1" applyAlignment="1" applyProtection="1">
      <alignment/>
      <protection/>
    </xf>
    <xf numFmtId="189" fontId="2" fillId="2" borderId="2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196" fontId="2" fillId="2" borderId="3" xfId="0" applyNumberFormat="1" applyFont="1" applyFill="1" applyBorder="1" applyAlignment="1" applyProtection="1">
      <alignment/>
      <protection/>
    </xf>
    <xf numFmtId="0" fontId="2" fillId="2" borderId="6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/>
      <protection/>
    </xf>
    <xf numFmtId="0" fontId="2" fillId="2" borderId="10" xfId="0" applyFont="1" applyFill="1" applyBorder="1" applyAlignment="1" applyProtection="1">
      <alignment vertical="center" wrapText="1"/>
      <protection/>
    </xf>
    <xf numFmtId="2" fontId="2" fillId="2" borderId="11" xfId="0" applyNumberFormat="1" applyFont="1" applyFill="1" applyBorder="1" applyAlignment="1" applyProtection="1">
      <alignment vertical="center" wrapText="1"/>
      <protection/>
    </xf>
    <xf numFmtId="0" fontId="3" fillId="2" borderId="6" xfId="0" applyFont="1" applyFill="1" applyBorder="1" applyAlignment="1" applyProtection="1">
      <alignment horizontal="left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left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2" fontId="2" fillId="2" borderId="11" xfId="0" applyNumberFormat="1" applyFont="1" applyFill="1" applyBorder="1" applyAlignment="1" applyProtection="1">
      <alignment horizontal="right"/>
      <protection/>
    </xf>
    <xf numFmtId="0" fontId="3" fillId="2" borderId="6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vertical="justify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justify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/>
      <protection/>
    </xf>
    <xf numFmtId="0" fontId="3" fillId="2" borderId="8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right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vertical="center" wrapText="1"/>
      <protection/>
    </xf>
    <xf numFmtId="0" fontId="0" fillId="5" borderId="9" xfId="0" applyFill="1" applyBorder="1" applyAlignment="1">
      <alignment horizontal="left" vertical="center"/>
    </xf>
    <xf numFmtId="191" fontId="2" fillId="2" borderId="7" xfId="0" applyNumberFormat="1" applyFont="1" applyFill="1" applyBorder="1" applyAlignment="1" applyProtection="1">
      <alignment/>
      <protection/>
    </xf>
    <xf numFmtId="191" fontId="2" fillId="2" borderId="2" xfId="0" applyNumberFormat="1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 horizontal="left" vertical="justify" wrapText="1"/>
      <protection/>
    </xf>
    <xf numFmtId="0" fontId="0" fillId="0" borderId="0" xfId="0" applyAlignment="1">
      <alignment vertical="justify" wrapText="1"/>
    </xf>
    <xf numFmtId="0" fontId="18" fillId="2" borderId="0" xfId="0" applyFont="1" applyFill="1" applyBorder="1" applyAlignment="1" applyProtection="1">
      <alignment wrapText="1"/>
      <protection/>
    </xf>
    <xf numFmtId="0" fontId="19" fillId="2" borderId="0" xfId="0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justify" vertical="top"/>
      <protection/>
    </xf>
    <xf numFmtId="198" fontId="2" fillId="2" borderId="3" xfId="0" applyNumberFormat="1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0" fillId="0" borderId="0" xfId="0" applyAlignment="1">
      <alignment wrapText="1"/>
    </xf>
    <xf numFmtId="0" fontId="6" fillId="2" borderId="0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left" vertical="justify"/>
      <protection/>
    </xf>
    <xf numFmtId="0" fontId="2" fillId="2" borderId="0" xfId="0" applyFont="1" applyFill="1" applyBorder="1" applyAlignment="1" applyProtection="1">
      <alignment horizontal="left" vertical="justify"/>
      <protection/>
    </xf>
    <xf numFmtId="0" fontId="6" fillId="2" borderId="12" xfId="0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19" fillId="2" borderId="12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left" vertical="top" wrapText="1"/>
      <protection/>
    </xf>
    <xf numFmtId="0" fontId="18" fillId="2" borderId="0" xfId="0" applyFont="1" applyFill="1" applyBorder="1" applyAlignment="1" applyProtection="1">
      <alignment horizontal="left" vertical="top" wrapText="1"/>
      <protection/>
    </xf>
    <xf numFmtId="0" fontId="18" fillId="2" borderId="0" xfId="0" applyFont="1" applyFill="1" applyBorder="1" applyAlignment="1" applyProtection="1">
      <alignment horizontal="justify" vertical="top"/>
      <protection/>
    </xf>
    <xf numFmtId="0" fontId="19" fillId="2" borderId="0" xfId="0" applyFont="1" applyFill="1" applyBorder="1" applyAlignment="1" applyProtection="1">
      <alignment horizontal="justify" vertical="top"/>
      <protection/>
    </xf>
    <xf numFmtId="0" fontId="18" fillId="2" borderId="0" xfId="0" applyFont="1" applyFill="1" applyBorder="1" applyAlignment="1" applyProtection="1">
      <alignment horizontal="center" vertical="center" wrapText="1"/>
      <protection/>
    </xf>
    <xf numFmtId="0" fontId="19" fillId="2" borderId="0" xfId="0" applyFont="1" applyFill="1" applyBorder="1" applyAlignment="1" applyProtection="1">
      <alignment horizontal="left" vertical="justify" wrapText="1"/>
      <protection/>
    </xf>
    <xf numFmtId="0" fontId="1" fillId="0" borderId="13" xfId="0" applyFont="1" applyBorder="1" applyAlignment="1" applyProtection="1">
      <alignment horizontal="justify" vertical="top"/>
      <protection/>
    </xf>
    <xf numFmtId="0" fontId="18" fillId="2" borderId="0" xfId="0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Border="1" applyAlignment="1" applyProtection="1">
      <alignment horizontal="left" vertical="center" wrapText="1"/>
      <protection/>
    </xf>
    <xf numFmtId="4" fontId="3" fillId="2" borderId="0" xfId="0" applyNumberFormat="1" applyFont="1" applyFill="1" applyAlignment="1" applyProtection="1">
      <alignment horizontal="justify" vertical="justify"/>
      <protection/>
    </xf>
    <xf numFmtId="0" fontId="6" fillId="2" borderId="0" xfId="0" applyFont="1" applyFill="1" applyBorder="1" applyAlignment="1" applyProtection="1">
      <alignment horizontal="left" vertical="justify" wrapText="1"/>
      <protection/>
    </xf>
    <xf numFmtId="4" fontId="3" fillId="2" borderId="0" xfId="0" applyNumberFormat="1" applyFont="1" applyFill="1" applyAlignment="1">
      <alignment horizontal="left" vertical="justify"/>
    </xf>
    <xf numFmtId="0" fontId="2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4" fontId="3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left"/>
      <protection/>
    </xf>
    <xf numFmtId="0" fontId="19" fillId="2" borderId="0" xfId="0" applyFont="1" applyFill="1" applyAlignment="1" applyProtection="1">
      <alignment horizontal="justify" vertical="top"/>
      <protection/>
    </xf>
    <xf numFmtId="0" fontId="18" fillId="2" borderId="0" xfId="0" applyFont="1" applyFill="1" applyAlignment="1" applyProtection="1">
      <alignment horizontal="justify" vertical="top"/>
      <protection/>
    </xf>
    <xf numFmtId="0" fontId="2" fillId="2" borderId="0" xfId="0" applyFont="1" applyFill="1" applyAlignment="1" applyProtection="1">
      <alignment horizontal="justify" vertical="top"/>
      <protection/>
    </xf>
    <xf numFmtId="4" fontId="3" fillId="2" borderId="0" xfId="0" applyNumberFormat="1" applyFont="1" applyFill="1" applyAlignment="1" applyProtection="1">
      <alignment horizontal="left" vertical="justify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19" fillId="2" borderId="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justify" vertical="justify"/>
      <protection/>
    </xf>
    <xf numFmtId="0" fontId="3" fillId="2" borderId="0" xfId="0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justify" vertical="top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left" vertical="justify"/>
      <protection/>
    </xf>
    <xf numFmtId="0" fontId="5" fillId="2" borderId="0" xfId="0" applyFont="1" applyFill="1" applyBorder="1" applyAlignment="1" applyProtection="1">
      <alignment horizontal="left" vertical="center" wrapText="1"/>
      <protection/>
    </xf>
    <xf numFmtId="0" fontId="3" fillId="2" borderId="8" xfId="0" applyFont="1" applyFill="1" applyBorder="1" applyAlignment="1" applyProtection="1">
      <alignment horizontal="left" vertical="center" wrapText="1"/>
      <protection/>
    </xf>
    <xf numFmtId="0" fontId="3" fillId="2" borderId="6" xfId="0" applyFont="1" applyFill="1" applyBorder="1" applyAlignment="1" applyProtection="1">
      <alignment horizontal="left" vertical="center" wrapText="1"/>
      <protection/>
    </xf>
    <xf numFmtId="0" fontId="3" fillId="2" borderId="7" xfId="0" applyFont="1" applyFill="1" applyBorder="1" applyAlignment="1" applyProtection="1">
      <alignment horizontal="left" vertical="center" wrapText="1"/>
      <protection/>
    </xf>
    <xf numFmtId="0" fontId="3" fillId="2" borderId="4" xfId="0" applyFont="1" applyFill="1" applyBorder="1" applyAlignment="1" applyProtection="1">
      <alignment horizontal="left" vertical="center" wrapText="1"/>
      <protection/>
    </xf>
    <xf numFmtId="0" fontId="3" fillId="2" borderId="2" xfId="0" applyFont="1" applyFill="1" applyBorder="1" applyAlignment="1" applyProtection="1">
      <alignment horizontal="left" vertical="center" wrapText="1"/>
      <protection/>
    </xf>
    <xf numFmtId="0" fontId="3" fillId="2" borderId="5" xfId="0" applyFont="1" applyFill="1" applyBorder="1" applyAlignment="1" applyProtection="1">
      <alignment horizontal="left" vertical="center" wrapText="1"/>
      <protection/>
    </xf>
    <xf numFmtId="0" fontId="3" fillId="2" borderId="1" xfId="0" applyFont="1" applyFill="1" applyBorder="1" applyAlignment="1" applyProtection="1">
      <alignment horizontal="left" vertical="center" wrapText="1"/>
      <protection/>
    </xf>
    <xf numFmtId="0" fontId="3" fillId="2" borderId="3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114300</xdr:rowOff>
    </xdr:from>
    <xdr:to>
      <xdr:col>6</xdr:col>
      <xdr:colOff>838200</xdr:colOff>
      <xdr:row>7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2581275" y="1266825"/>
          <a:ext cx="9048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114300</xdr:rowOff>
    </xdr:from>
    <xdr:to>
      <xdr:col>6</xdr:col>
      <xdr:colOff>838200</xdr:colOff>
      <xdr:row>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2581275" y="14859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7</xdr:row>
      <xdr:rowOff>123825</xdr:rowOff>
    </xdr:from>
    <xdr:to>
      <xdr:col>6</xdr:col>
      <xdr:colOff>838200</xdr:colOff>
      <xdr:row>8</xdr:row>
      <xdr:rowOff>123825</xdr:rowOff>
    </xdr:to>
    <xdr:sp>
      <xdr:nvSpPr>
        <xdr:cNvPr id="3" name="Line 6"/>
        <xdr:cNvSpPr>
          <a:spLocks/>
        </xdr:cNvSpPr>
      </xdr:nvSpPr>
      <xdr:spPr>
        <a:xfrm>
          <a:off x="2590800" y="1495425"/>
          <a:ext cx="8953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219075</xdr:colOff>
      <xdr:row>43</xdr:row>
      <xdr:rowOff>114300</xdr:rowOff>
    </xdr:from>
    <xdr:ext cx="57150" cy="190500"/>
    <xdr:sp>
      <xdr:nvSpPr>
        <xdr:cNvPr id="4" name="TextBox 11"/>
        <xdr:cNvSpPr txBox="1">
          <a:spLocks noChangeArrowheads="1"/>
        </xdr:cNvSpPr>
      </xdr:nvSpPr>
      <xdr:spPr>
        <a:xfrm>
          <a:off x="1114425" y="93726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25</xdr:row>
      <xdr:rowOff>161925</xdr:rowOff>
    </xdr:from>
    <xdr:to>
      <xdr:col>6</xdr:col>
      <xdr:colOff>723900</xdr:colOff>
      <xdr:row>25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038600" y="5276850"/>
          <a:ext cx="1095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32</xdr:row>
      <xdr:rowOff>142875</xdr:rowOff>
    </xdr:from>
    <xdr:to>
      <xdr:col>6</xdr:col>
      <xdr:colOff>714375</xdr:colOff>
      <xdr:row>32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686175" y="6867525"/>
          <a:ext cx="1247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24</xdr:row>
      <xdr:rowOff>123825</xdr:rowOff>
    </xdr:from>
    <xdr:to>
      <xdr:col>6</xdr:col>
      <xdr:colOff>742950</xdr:colOff>
      <xdr:row>24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914775" y="4848225"/>
          <a:ext cx="14382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29</xdr:row>
      <xdr:rowOff>123825</xdr:rowOff>
    </xdr:from>
    <xdr:to>
      <xdr:col>6</xdr:col>
      <xdr:colOff>723900</xdr:colOff>
      <xdr:row>29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457700" y="6000750"/>
          <a:ext cx="1428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17</xdr:row>
      <xdr:rowOff>114300</xdr:rowOff>
    </xdr:from>
    <xdr:to>
      <xdr:col>6</xdr:col>
      <xdr:colOff>723900</xdr:colOff>
      <xdr:row>17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914775" y="3552825"/>
          <a:ext cx="14382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05"/>
  <sheetViews>
    <sheetView tabSelected="1" zoomScale="150" zoomScaleNormal="150" workbookViewId="0" topLeftCell="A1">
      <selection activeCell="H7" sqref="H7"/>
    </sheetView>
  </sheetViews>
  <sheetFormatPr defaultColWidth="11.421875" defaultRowHeight="12.75"/>
  <cols>
    <col min="1" max="1" width="0.9921875" style="8" customWidth="1"/>
    <col min="2" max="2" width="12.421875" style="8" customWidth="1"/>
    <col min="3" max="3" width="14.7109375" style="8" customWidth="1"/>
    <col min="4" max="4" width="8.7109375" style="28" customWidth="1"/>
    <col min="5" max="6" width="1.421875" style="8" customWidth="1"/>
    <col min="7" max="8" width="13.421875" style="8" customWidth="1"/>
    <col min="9" max="9" width="8.140625" style="8" customWidth="1"/>
    <col min="10" max="11" width="1.421875" style="8" customWidth="1"/>
    <col min="12" max="12" width="10.28125" style="8" customWidth="1"/>
    <col min="13" max="13" width="20.7109375" style="8" customWidth="1"/>
    <col min="14" max="14" width="9.28125" style="8" customWidth="1"/>
    <col min="15" max="16" width="1.421875" style="8" customWidth="1"/>
    <col min="17" max="17" width="9.421875" style="8" customWidth="1"/>
    <col min="18" max="18" width="17.421875" style="8" customWidth="1"/>
    <col min="19" max="19" width="8.421875" style="8" customWidth="1"/>
    <col min="20" max="20" width="1.421875" style="9" customWidth="1"/>
    <col min="21" max="21" width="1.421875" style="8" customWidth="1"/>
    <col min="22" max="22" width="12.140625" style="8" customWidth="1"/>
    <col min="23" max="23" width="20.7109375" style="8" customWidth="1"/>
    <col min="24" max="24" width="7.00390625" style="8" customWidth="1"/>
    <col min="25" max="26" width="1.421875" style="8" customWidth="1"/>
    <col min="27" max="27" width="11.421875" style="8" customWidth="1"/>
    <col min="28" max="28" width="6.421875" style="8" customWidth="1"/>
    <col min="29" max="29" width="11.421875" style="8" customWidth="1"/>
    <col min="30" max="30" width="1.421875" style="8" customWidth="1"/>
    <col min="31" max="16384" width="11.421875" style="8" customWidth="1"/>
  </cols>
  <sheetData>
    <row r="1" spans="2:31" ht="15">
      <c r="B1" s="79" t="s">
        <v>184</v>
      </c>
      <c r="C1" s="46"/>
      <c r="D1" s="171"/>
      <c r="E1" s="46"/>
      <c r="F1" s="46"/>
      <c r="G1" s="46"/>
      <c r="H1" s="79"/>
      <c r="I1" s="46"/>
      <c r="J1" s="46"/>
      <c r="K1" s="46"/>
      <c r="L1" s="44"/>
      <c r="M1" s="44"/>
      <c r="N1" s="46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2:31" ht="6.75" customHeight="1" thickBot="1">
      <c r="B2" s="44"/>
      <c r="C2" s="46"/>
      <c r="D2" s="172"/>
      <c r="E2" s="46"/>
      <c r="F2" s="46"/>
      <c r="G2" s="46"/>
      <c r="H2" s="46"/>
      <c r="I2" s="46"/>
      <c r="J2" s="46"/>
      <c r="K2" s="46"/>
      <c r="L2" s="46"/>
      <c r="M2" s="46"/>
      <c r="N2" s="44"/>
      <c r="O2" s="44"/>
      <c r="P2" s="46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2:31" ht="17.25" customHeight="1">
      <c r="B3" s="101" t="s">
        <v>225</v>
      </c>
      <c r="C3" s="73"/>
      <c r="D3" s="94">
        <v>6.2</v>
      </c>
      <c r="E3" s="46"/>
      <c r="F3" s="64"/>
      <c r="G3" s="54"/>
      <c r="H3" s="106"/>
      <c r="I3" s="46"/>
      <c r="J3" s="44"/>
      <c r="K3" s="44"/>
      <c r="L3" s="46"/>
      <c r="M3" s="44"/>
      <c r="N3" s="44"/>
      <c r="O3" s="44"/>
      <c r="P3" s="44"/>
      <c r="Q3" s="44"/>
      <c r="R3" s="44"/>
      <c r="S3" s="44"/>
      <c r="T3" s="44"/>
      <c r="U3" s="44"/>
      <c r="V3" s="263" t="s">
        <v>260</v>
      </c>
      <c r="W3" s="263"/>
      <c r="X3" s="263"/>
      <c r="Y3" s="263"/>
      <c r="Z3" s="263"/>
      <c r="AA3" s="263"/>
      <c r="AB3" s="263"/>
      <c r="AC3" s="263"/>
      <c r="AD3" s="44"/>
      <c r="AE3" s="44"/>
    </row>
    <row r="4" spans="2:31" ht="17.25" customHeight="1">
      <c r="B4" s="102" t="s">
        <v>226</v>
      </c>
      <c r="C4" s="5" t="s">
        <v>59</v>
      </c>
      <c r="D4" s="95">
        <v>200</v>
      </c>
      <c r="E4" s="46"/>
      <c r="F4" s="64"/>
      <c r="G4" s="54"/>
      <c r="H4" s="106" t="s">
        <v>29</v>
      </c>
      <c r="I4" s="46"/>
      <c r="J4" s="44"/>
      <c r="K4" s="44"/>
      <c r="L4" s="46"/>
      <c r="M4" s="44"/>
      <c r="N4" s="44"/>
      <c r="O4" s="44"/>
      <c r="P4" s="44"/>
      <c r="Q4" s="44"/>
      <c r="R4" s="44"/>
      <c r="S4" s="44"/>
      <c r="T4" s="44"/>
      <c r="U4" s="44"/>
      <c r="V4" s="263"/>
      <c r="W4" s="263"/>
      <c r="X4" s="263"/>
      <c r="Y4" s="263"/>
      <c r="Z4" s="263"/>
      <c r="AA4" s="263"/>
      <c r="AB4" s="263"/>
      <c r="AC4" s="263"/>
      <c r="AD4" s="44"/>
      <c r="AE4" s="44"/>
    </row>
    <row r="5" spans="2:31" ht="17.25" customHeight="1">
      <c r="B5" s="102" t="s">
        <v>227</v>
      </c>
      <c r="C5" s="5" t="s">
        <v>222</v>
      </c>
      <c r="D5" s="95">
        <v>0.5</v>
      </c>
      <c r="E5" s="46"/>
      <c r="F5" s="64"/>
      <c r="G5" s="54"/>
      <c r="H5" s="44"/>
      <c r="I5" s="46"/>
      <c r="J5" s="44"/>
      <c r="K5" s="44"/>
      <c r="L5" s="46"/>
      <c r="M5" s="44"/>
      <c r="N5" s="44"/>
      <c r="O5" s="44"/>
      <c r="P5" s="44"/>
      <c r="Q5" s="44"/>
      <c r="R5" s="44"/>
      <c r="S5" s="44"/>
      <c r="T5" s="44"/>
      <c r="U5" s="44"/>
      <c r="V5" s="107" t="s">
        <v>23</v>
      </c>
      <c r="W5" s="44"/>
      <c r="X5" s="44"/>
      <c r="Y5" s="44"/>
      <c r="Z5" s="44"/>
      <c r="AA5" s="44"/>
      <c r="AB5" s="44"/>
      <c r="AC5" s="44"/>
      <c r="AD5" s="44"/>
      <c r="AE5" s="44"/>
    </row>
    <row r="6" spans="2:31" ht="17.25" customHeight="1">
      <c r="B6" s="102" t="s">
        <v>228</v>
      </c>
      <c r="C6" s="5" t="s">
        <v>223</v>
      </c>
      <c r="D6" s="95">
        <v>2</v>
      </c>
      <c r="E6" s="46"/>
      <c r="F6" s="64"/>
      <c r="G6" s="54"/>
      <c r="H6" s="106" t="s">
        <v>28</v>
      </c>
      <c r="I6" s="46"/>
      <c r="J6" s="44"/>
      <c r="K6" s="44"/>
      <c r="L6" s="46"/>
      <c r="M6" s="44"/>
      <c r="N6" s="44"/>
      <c r="O6" s="44"/>
      <c r="P6" s="44"/>
      <c r="Q6" s="44"/>
      <c r="R6" s="44"/>
      <c r="S6" s="44"/>
      <c r="T6" s="44"/>
      <c r="U6" s="44"/>
      <c r="V6" s="107" t="s">
        <v>207</v>
      </c>
      <c r="W6" s="44"/>
      <c r="X6" s="44"/>
      <c r="Y6" s="44"/>
      <c r="Z6" s="44"/>
      <c r="AA6" s="44"/>
      <c r="AB6" s="44"/>
      <c r="AC6" s="44"/>
      <c r="AD6" s="44"/>
      <c r="AE6" s="44"/>
    </row>
    <row r="7" spans="2:31" ht="17.25" customHeight="1">
      <c r="B7" s="102" t="s">
        <v>229</v>
      </c>
      <c r="C7" s="5" t="s">
        <v>124</v>
      </c>
      <c r="D7" s="95">
        <v>0</v>
      </c>
      <c r="E7" s="50"/>
      <c r="F7" s="44"/>
      <c r="G7" s="44"/>
      <c r="H7" s="108" t="s">
        <v>214</v>
      </c>
      <c r="I7" s="46"/>
      <c r="J7" s="44"/>
      <c r="K7" s="44"/>
      <c r="L7" s="46"/>
      <c r="M7" s="44"/>
      <c r="N7" s="44"/>
      <c r="O7" s="44"/>
      <c r="P7" s="44"/>
      <c r="Q7" s="44"/>
      <c r="R7" s="44"/>
      <c r="S7" s="44"/>
      <c r="T7" s="44"/>
      <c r="U7" s="44"/>
      <c r="V7" s="44" t="s">
        <v>265</v>
      </c>
      <c r="W7" s="44"/>
      <c r="X7" s="44"/>
      <c r="Y7" s="44"/>
      <c r="Z7" s="44"/>
      <c r="AA7" s="44"/>
      <c r="AB7" s="44"/>
      <c r="AC7" s="44"/>
      <c r="AD7" s="44"/>
      <c r="AE7" s="44"/>
    </row>
    <row r="8" spans="2:31" ht="17.25" customHeight="1">
      <c r="B8" s="249" t="s">
        <v>63</v>
      </c>
      <c r="C8" s="250"/>
      <c r="D8" s="95">
        <v>0.47</v>
      </c>
      <c r="E8" s="50"/>
      <c r="F8" s="44"/>
      <c r="G8" s="44"/>
      <c r="H8" s="108" t="s">
        <v>243</v>
      </c>
      <c r="I8" s="46"/>
      <c r="J8" s="44"/>
      <c r="K8" s="44"/>
      <c r="L8" s="46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</row>
    <row r="9" spans="2:31" ht="17.25" customHeight="1">
      <c r="B9" s="102" t="s">
        <v>230</v>
      </c>
      <c r="C9" s="5" t="s">
        <v>231</v>
      </c>
      <c r="D9" s="95">
        <v>21</v>
      </c>
      <c r="E9" s="50"/>
      <c r="F9" s="44"/>
      <c r="G9" s="44"/>
      <c r="H9" s="108" t="s">
        <v>242</v>
      </c>
      <c r="I9" s="46"/>
      <c r="J9" s="44"/>
      <c r="K9" s="44"/>
      <c r="L9" s="46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</row>
    <row r="10" spans="2:31" ht="17.25" customHeight="1">
      <c r="B10" s="102" t="s">
        <v>45</v>
      </c>
      <c r="C10" s="5" t="s">
        <v>116</v>
      </c>
      <c r="D10" s="95">
        <v>80</v>
      </c>
      <c r="E10" s="109"/>
      <c r="F10" s="250"/>
      <c r="G10" s="250"/>
      <c r="H10" s="250"/>
      <c r="I10" s="46"/>
      <c r="J10" s="44"/>
      <c r="K10" s="44"/>
      <c r="L10" s="46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2:31" ht="17.25" customHeight="1">
      <c r="B11" s="102" t="s">
        <v>46</v>
      </c>
      <c r="C11" s="5" t="s">
        <v>116</v>
      </c>
      <c r="D11" s="95">
        <v>1</v>
      </c>
      <c r="E11" s="109"/>
      <c r="F11" s="250"/>
      <c r="G11" s="250"/>
      <c r="H11" s="250"/>
      <c r="I11" s="46"/>
      <c r="J11" s="44"/>
      <c r="K11" s="44"/>
      <c r="L11" s="46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pans="2:31" ht="17.25" customHeight="1" thickBot="1">
      <c r="B12" s="105" t="s">
        <v>180</v>
      </c>
      <c r="C12" s="6" t="s">
        <v>89</v>
      </c>
      <c r="D12" s="96">
        <v>1</v>
      </c>
      <c r="E12" s="46"/>
      <c r="F12" s="46"/>
      <c r="G12" s="46"/>
      <c r="H12" s="46"/>
      <c r="I12" s="46"/>
      <c r="J12" s="44"/>
      <c r="K12" s="44"/>
      <c r="L12" s="46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2:31" ht="17.25" customHeight="1">
      <c r="B13" s="44"/>
      <c r="C13" s="46"/>
      <c r="D13" s="171"/>
      <c r="E13" s="46"/>
      <c r="F13" s="46"/>
      <c r="G13" s="10"/>
      <c r="H13" s="15"/>
      <c r="I13" s="46"/>
      <c r="J13" s="46"/>
      <c r="K13" s="46"/>
      <c r="L13" s="46"/>
      <c r="M13" s="46"/>
      <c r="N13" s="44"/>
      <c r="O13" s="44"/>
      <c r="P13" s="46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</row>
    <row r="14" spans="2:31" ht="17.25" customHeight="1">
      <c r="B14" s="111" t="s">
        <v>185</v>
      </c>
      <c r="C14" s="46"/>
      <c r="D14" s="171"/>
      <c r="E14" s="110"/>
      <c r="F14" s="44"/>
      <c r="G14" s="111" t="s">
        <v>247</v>
      </c>
      <c r="H14" s="112"/>
      <c r="I14" s="46"/>
      <c r="J14" s="110"/>
      <c r="K14" s="46"/>
      <c r="L14" s="12" t="s">
        <v>165</v>
      </c>
      <c r="M14" s="10"/>
      <c r="N14" s="10"/>
      <c r="O14" s="10"/>
      <c r="P14" s="113"/>
      <c r="Q14" s="111" t="s">
        <v>123</v>
      </c>
      <c r="R14" s="46"/>
      <c r="S14" s="46"/>
      <c r="T14" s="110"/>
      <c r="U14" s="46"/>
      <c r="V14" s="111" t="s">
        <v>193</v>
      </c>
      <c r="W14" s="46"/>
      <c r="X14" s="46"/>
      <c r="Y14" s="46"/>
      <c r="Z14" s="113"/>
      <c r="AA14" s="111" t="s">
        <v>241</v>
      </c>
      <c r="AB14" s="46"/>
      <c r="AC14" s="46"/>
      <c r="AD14" s="110"/>
      <c r="AE14" s="44"/>
    </row>
    <row r="15" spans="2:31" ht="17.25" customHeight="1">
      <c r="B15" s="173" t="s">
        <v>187</v>
      </c>
      <c r="C15" s="46"/>
      <c r="D15" s="172"/>
      <c r="E15" s="110"/>
      <c r="F15" s="44"/>
      <c r="G15" s="256" t="s">
        <v>189</v>
      </c>
      <c r="H15" s="256"/>
      <c r="I15" s="256"/>
      <c r="J15" s="110"/>
      <c r="K15" s="46"/>
      <c r="L15" s="256" t="s">
        <v>189</v>
      </c>
      <c r="M15" s="256"/>
      <c r="N15" s="256"/>
      <c r="O15" s="115"/>
      <c r="P15" s="113"/>
      <c r="Q15" s="256" t="s">
        <v>189</v>
      </c>
      <c r="R15" s="242"/>
      <c r="S15" s="242"/>
      <c r="T15" s="260"/>
      <c r="U15" s="46"/>
      <c r="V15" s="256" t="s">
        <v>196</v>
      </c>
      <c r="W15" s="242"/>
      <c r="X15" s="242"/>
      <c r="Y15" s="242"/>
      <c r="Z15" s="113"/>
      <c r="AA15" s="256" t="s">
        <v>188</v>
      </c>
      <c r="AB15" s="256"/>
      <c r="AC15" s="256"/>
      <c r="AD15" s="110"/>
      <c r="AE15" s="44"/>
    </row>
    <row r="16" spans="2:31" ht="17.25" customHeight="1" thickBot="1">
      <c r="B16" s="46"/>
      <c r="C16" s="46"/>
      <c r="D16" s="171"/>
      <c r="E16" s="110"/>
      <c r="F16" s="44"/>
      <c r="G16" s="256"/>
      <c r="H16" s="256"/>
      <c r="I16" s="256"/>
      <c r="J16" s="110"/>
      <c r="K16" s="46"/>
      <c r="L16" s="256"/>
      <c r="M16" s="256"/>
      <c r="N16" s="256"/>
      <c r="O16" s="115"/>
      <c r="P16" s="113"/>
      <c r="Q16" s="242"/>
      <c r="R16" s="242"/>
      <c r="S16" s="242"/>
      <c r="T16" s="260"/>
      <c r="U16" s="46"/>
      <c r="V16" s="242"/>
      <c r="W16" s="242"/>
      <c r="X16" s="242"/>
      <c r="Y16" s="242"/>
      <c r="Z16" s="113"/>
      <c r="AA16" s="256"/>
      <c r="AB16" s="256"/>
      <c r="AC16" s="256"/>
      <c r="AD16" s="110"/>
      <c r="AE16" s="44"/>
    </row>
    <row r="17" spans="2:31" ht="17.25" customHeight="1" thickBot="1">
      <c r="B17" s="174" t="s">
        <v>227</v>
      </c>
      <c r="C17" s="22" t="s">
        <v>77</v>
      </c>
      <c r="D17" s="175">
        <f>D5/(40.08/2)</f>
        <v>0.0249500998003992</v>
      </c>
      <c r="E17" s="110"/>
      <c r="F17" s="44"/>
      <c r="G17" s="101" t="s">
        <v>142</v>
      </c>
      <c r="H17" s="116" t="s">
        <v>236</v>
      </c>
      <c r="I17" s="117">
        <f>'Langelier (simplificado)'!E9</f>
        <v>94</v>
      </c>
      <c r="J17" s="118"/>
      <c r="K17" s="46"/>
      <c r="L17" s="57" t="s">
        <v>143</v>
      </c>
      <c r="M17" s="119" t="s">
        <v>153</v>
      </c>
      <c r="N17" s="235">
        <f>'LSI (SM2330)'!E17</f>
        <v>1.25E-05</v>
      </c>
      <c r="O17" s="46"/>
      <c r="P17" s="113"/>
      <c r="Q17" s="75" t="s">
        <v>113</v>
      </c>
      <c r="R17" s="121" t="s">
        <v>240</v>
      </c>
      <c r="S17" s="122">
        <f>Ryznar!E25</f>
        <v>17.09580024238652</v>
      </c>
      <c r="T17" s="123"/>
      <c r="U17" s="46"/>
      <c r="V17" s="124" t="s">
        <v>137</v>
      </c>
      <c r="W17" s="125" t="s">
        <v>221</v>
      </c>
      <c r="X17" s="126">
        <f>D32</f>
        <v>1.640571728297928</v>
      </c>
      <c r="Y17" s="127"/>
      <c r="Z17" s="113"/>
      <c r="AA17" s="128" t="s">
        <v>35</v>
      </c>
      <c r="AB17" s="129" t="s">
        <v>122</v>
      </c>
      <c r="AC17" s="130">
        <f>'Larson-Skold'!E14</f>
        <v>2.256699576868829</v>
      </c>
      <c r="AD17" s="110"/>
      <c r="AE17" s="44"/>
    </row>
    <row r="18" spans="2:31" ht="17.25" customHeight="1" thickBot="1">
      <c r="B18" s="19" t="s">
        <v>180</v>
      </c>
      <c r="C18" s="23" t="s">
        <v>78</v>
      </c>
      <c r="D18" s="30">
        <f>D12/(24.32/2)</f>
        <v>0.08223684210526316</v>
      </c>
      <c r="E18" s="110"/>
      <c r="F18" s="44"/>
      <c r="G18" s="102" t="s">
        <v>143</v>
      </c>
      <c r="H18" s="131" t="s">
        <v>144</v>
      </c>
      <c r="I18" s="132">
        <f>'Langelier (simplificado)'!E12</f>
        <v>1.2468827930174564</v>
      </c>
      <c r="J18" s="133"/>
      <c r="K18" s="46"/>
      <c r="L18" s="60" t="s">
        <v>148</v>
      </c>
      <c r="M18" s="99"/>
      <c r="N18" s="132">
        <f>'LSI (SM2330)'!E18</f>
        <v>4.903089986991944</v>
      </c>
      <c r="O18" s="127"/>
      <c r="P18" s="113"/>
      <c r="Q18" s="46"/>
      <c r="R18" s="46"/>
      <c r="S18" s="46"/>
      <c r="T18" s="110"/>
      <c r="U18" s="46"/>
      <c r="V18" s="46"/>
      <c r="W18" s="131"/>
      <c r="X18" s="46"/>
      <c r="Y18" s="46"/>
      <c r="Z18" s="113"/>
      <c r="AA18" s="134" t="s">
        <v>36</v>
      </c>
      <c r="AB18" s="135" t="s">
        <v>122</v>
      </c>
      <c r="AC18" s="38">
        <f>'Larson-Skold'!E15</f>
        <v>0.020820320632937747</v>
      </c>
      <c r="AD18" s="110"/>
      <c r="AE18" s="44"/>
    </row>
    <row r="19" spans="2:31" ht="17.25" customHeight="1" thickBot="1">
      <c r="B19" s="27"/>
      <c r="C19" s="25"/>
      <c r="D19" s="31"/>
      <c r="E19" s="110"/>
      <c r="F19" s="44"/>
      <c r="G19" s="105" t="s">
        <v>137</v>
      </c>
      <c r="H19" s="136" t="s">
        <v>144</v>
      </c>
      <c r="I19" s="137">
        <f>'Langelier (simplificado)'!E15</f>
        <v>1.640571728297928</v>
      </c>
      <c r="J19" s="133"/>
      <c r="K19" s="46"/>
      <c r="L19" s="60" t="s">
        <v>137</v>
      </c>
      <c r="M19" s="99" t="s">
        <v>154</v>
      </c>
      <c r="N19" s="236">
        <f>'LSI (SM2330)'!E20</f>
        <v>3.281143456595856E-05</v>
      </c>
      <c r="O19" s="46"/>
      <c r="P19" s="113"/>
      <c r="Q19" s="108" t="s">
        <v>19</v>
      </c>
      <c r="R19" s="108"/>
      <c r="S19" s="108"/>
      <c r="T19" s="138"/>
      <c r="U19" s="46"/>
      <c r="V19" s="124" t="s">
        <v>194</v>
      </c>
      <c r="W19" s="125" t="s">
        <v>114</v>
      </c>
      <c r="X19" s="126">
        <f>Puckorius!E28</f>
        <v>4.854968001920968</v>
      </c>
      <c r="Y19" s="127"/>
      <c r="Z19" s="113"/>
      <c r="AA19" s="134" t="s">
        <v>42</v>
      </c>
      <c r="AB19" s="135" t="s">
        <v>122</v>
      </c>
      <c r="AC19" s="38">
        <f>'Larson-Skold'!E16</f>
        <v>0.03278688524590164</v>
      </c>
      <c r="AD19" s="110"/>
      <c r="AE19" s="44"/>
    </row>
    <row r="20" spans="2:31" ht="17.25" customHeight="1" thickBot="1">
      <c r="B20" s="42" t="s">
        <v>88</v>
      </c>
      <c r="C20" s="24" t="s">
        <v>79</v>
      </c>
      <c r="D20" s="41">
        <f>(D17+D18)*50</f>
        <v>5.359347095283118</v>
      </c>
      <c r="E20" s="110"/>
      <c r="F20" s="44"/>
      <c r="G20" s="46"/>
      <c r="H20" s="131"/>
      <c r="I20" s="127"/>
      <c r="J20" s="133"/>
      <c r="K20" s="46"/>
      <c r="L20" s="62" t="s">
        <v>152</v>
      </c>
      <c r="M20" s="139"/>
      <c r="N20" s="137">
        <f>'LSI (SM2330)'!E21</f>
        <v>4.483974781181774</v>
      </c>
      <c r="O20" s="127"/>
      <c r="P20" s="113"/>
      <c r="Q20" s="108" t="s">
        <v>18</v>
      </c>
      <c r="R20" s="108"/>
      <c r="S20" s="108"/>
      <c r="T20" s="138"/>
      <c r="U20" s="46"/>
      <c r="V20" s="46"/>
      <c r="W20" s="131"/>
      <c r="X20" s="46"/>
      <c r="Y20" s="46"/>
      <c r="Z20" s="113"/>
      <c r="AA20" s="140" t="s">
        <v>43</v>
      </c>
      <c r="AB20" s="141" t="s">
        <v>122</v>
      </c>
      <c r="AC20" s="142">
        <f>'Larson-Skold'!E17</f>
        <v>0</v>
      </c>
      <c r="AD20" s="110"/>
      <c r="AE20" s="44"/>
    </row>
    <row r="21" spans="2:31" ht="17.25" customHeight="1" thickBot="1">
      <c r="B21" s="18" t="s">
        <v>88</v>
      </c>
      <c r="C21" s="25" t="s">
        <v>222</v>
      </c>
      <c r="D21" s="29">
        <f>D20*20/50</f>
        <v>2.143738838113247</v>
      </c>
      <c r="E21" s="110"/>
      <c r="F21" s="44"/>
      <c r="G21" s="101" t="s">
        <v>138</v>
      </c>
      <c r="H21" s="26" t="s">
        <v>237</v>
      </c>
      <c r="I21" s="120">
        <f>'Langelier (simplificado)'!E19</f>
        <v>0.09731278535996986</v>
      </c>
      <c r="J21" s="133"/>
      <c r="K21" s="46"/>
      <c r="L21" s="54"/>
      <c r="M21" s="99"/>
      <c r="N21" s="46"/>
      <c r="O21" s="46"/>
      <c r="P21" s="113"/>
      <c r="Q21" s="108" t="s">
        <v>17</v>
      </c>
      <c r="R21" s="108"/>
      <c r="S21" s="108"/>
      <c r="T21" s="138"/>
      <c r="U21" s="46"/>
      <c r="V21" s="143" t="s">
        <v>115</v>
      </c>
      <c r="W21" s="144" t="s">
        <v>67</v>
      </c>
      <c r="X21" s="122">
        <f>Puckorius!E30</f>
        <v>18.440832240465554</v>
      </c>
      <c r="Y21" s="145"/>
      <c r="Z21" s="113"/>
      <c r="AA21" s="52"/>
      <c r="AB21" s="135"/>
      <c r="AC21" s="15"/>
      <c r="AD21" s="110"/>
      <c r="AE21" s="44"/>
    </row>
    <row r="22" spans="2:31" ht="17.25" customHeight="1" thickBot="1">
      <c r="B22" s="18" t="s">
        <v>88</v>
      </c>
      <c r="C22" s="25" t="s">
        <v>223</v>
      </c>
      <c r="D22" s="29">
        <f>D20*12.2/10</f>
        <v>6.538403456245403</v>
      </c>
      <c r="E22" s="110"/>
      <c r="F22" s="44"/>
      <c r="G22" s="102" t="s">
        <v>139</v>
      </c>
      <c r="H22" s="146" t="s">
        <v>238</v>
      </c>
      <c r="I22" s="132">
        <f>'Langelier (simplificado)'!E20</f>
        <v>2.1614081907033693</v>
      </c>
      <c r="J22" s="133"/>
      <c r="K22" s="46"/>
      <c r="L22" s="57" t="s">
        <v>24</v>
      </c>
      <c r="M22" s="119" t="s">
        <v>238</v>
      </c>
      <c r="N22" s="120">
        <f>'LSI (SM2330)'!E23</f>
        <v>10.365262107849407</v>
      </c>
      <c r="O22" s="147"/>
      <c r="P22" s="113"/>
      <c r="Q22" s="108" t="s">
        <v>68</v>
      </c>
      <c r="R22" s="108"/>
      <c r="S22" s="108"/>
      <c r="T22" s="138"/>
      <c r="U22" s="46"/>
      <c r="V22" s="46"/>
      <c r="W22" s="46"/>
      <c r="X22" s="46"/>
      <c r="Y22" s="46"/>
      <c r="Z22" s="113"/>
      <c r="AA22" s="148" t="s">
        <v>2</v>
      </c>
      <c r="AB22" s="149"/>
      <c r="AC22" s="150">
        <f>'Larson-Skold'!E18</f>
        <v>69.46435687380388</v>
      </c>
      <c r="AD22" s="110"/>
      <c r="AE22" s="44"/>
    </row>
    <row r="23" spans="2:31" ht="17.25" customHeight="1">
      <c r="B23" s="18" t="s">
        <v>88</v>
      </c>
      <c r="C23" s="25" t="s">
        <v>181</v>
      </c>
      <c r="D23" s="29">
        <f>D20/10</f>
        <v>0.5359347095283118</v>
      </c>
      <c r="E23" s="110"/>
      <c r="F23" s="44"/>
      <c r="G23" s="102" t="s">
        <v>140</v>
      </c>
      <c r="H23" s="146" t="s">
        <v>145</v>
      </c>
      <c r="I23" s="132">
        <f>'Langelier (simplificado)'!E21</f>
        <v>-0.3041743682841635</v>
      </c>
      <c r="J23" s="133"/>
      <c r="K23" s="46"/>
      <c r="L23" s="60" t="s">
        <v>25</v>
      </c>
      <c r="M23" s="99" t="s">
        <v>238</v>
      </c>
      <c r="N23" s="132">
        <f>'LSI (SM2330)'!E24</f>
        <v>14.128696799456153</v>
      </c>
      <c r="O23" s="147"/>
      <c r="P23" s="113"/>
      <c r="Q23" s="108" t="s">
        <v>1</v>
      </c>
      <c r="R23" s="108"/>
      <c r="S23" s="108"/>
      <c r="T23" s="138"/>
      <c r="U23" s="46"/>
      <c r="V23" s="262" t="s">
        <v>64</v>
      </c>
      <c r="W23" s="262"/>
      <c r="X23" s="262"/>
      <c r="Y23" s="262"/>
      <c r="Z23" s="152"/>
      <c r="AA23" s="46"/>
      <c r="AB23" s="46"/>
      <c r="AC23" s="46"/>
      <c r="AD23" s="110"/>
      <c r="AE23" s="44"/>
    </row>
    <row r="24" spans="2:31" ht="17.25" customHeight="1" thickBot="1">
      <c r="B24" s="18" t="s">
        <v>88</v>
      </c>
      <c r="C24" s="25" t="s">
        <v>182</v>
      </c>
      <c r="D24" s="29">
        <f>D20*0.562/10</f>
        <v>0.30119530675491124</v>
      </c>
      <c r="E24" s="110"/>
      <c r="F24" s="44"/>
      <c r="G24" s="105" t="s">
        <v>141</v>
      </c>
      <c r="H24" s="20" t="s">
        <v>87</v>
      </c>
      <c r="I24" s="137">
        <f>'Langelier (simplificado)'!E22</f>
        <v>0.21499522315424413</v>
      </c>
      <c r="J24" s="133"/>
      <c r="K24" s="46"/>
      <c r="L24" s="60" t="s">
        <v>135</v>
      </c>
      <c r="M24" s="99" t="s">
        <v>238</v>
      </c>
      <c r="N24" s="132">
        <f>'LSI (SM2330)'!E25</f>
        <v>8.458586431560747</v>
      </c>
      <c r="O24" s="147"/>
      <c r="P24" s="113"/>
      <c r="Q24" s="108" t="s">
        <v>66</v>
      </c>
      <c r="R24" s="108"/>
      <c r="S24" s="108"/>
      <c r="T24" s="138"/>
      <c r="U24" s="46"/>
      <c r="V24" s="262" t="s">
        <v>20</v>
      </c>
      <c r="W24" s="262"/>
      <c r="X24" s="262"/>
      <c r="Y24" s="151"/>
      <c r="Z24" s="152"/>
      <c r="AA24" s="262" t="s">
        <v>13</v>
      </c>
      <c r="AB24" s="262"/>
      <c r="AC24" s="262"/>
      <c r="AD24" s="110"/>
      <c r="AE24" s="44"/>
    </row>
    <row r="25" spans="2:31" ht="17.25" customHeight="1" thickBot="1">
      <c r="B25" s="19" t="s">
        <v>88</v>
      </c>
      <c r="C25" s="23" t="s">
        <v>183</v>
      </c>
      <c r="D25" s="30">
        <f>D20*0.699/10</f>
        <v>0.3746183619602899</v>
      </c>
      <c r="E25" s="110"/>
      <c r="F25" s="44"/>
      <c r="G25" s="46"/>
      <c r="H25" s="131"/>
      <c r="I25" s="46"/>
      <c r="J25" s="110"/>
      <c r="K25" s="46"/>
      <c r="L25" s="60" t="s">
        <v>208</v>
      </c>
      <c r="M25" s="99" t="s">
        <v>108</v>
      </c>
      <c r="N25" s="190">
        <f>'LSI (SM2330)'!E26</f>
        <v>0.0032000000000000006</v>
      </c>
      <c r="O25" s="147"/>
      <c r="P25" s="113"/>
      <c r="Q25" s="46"/>
      <c r="R25" s="46"/>
      <c r="S25" s="46"/>
      <c r="T25" s="110"/>
      <c r="U25" s="46"/>
      <c r="V25" s="262" t="s">
        <v>65</v>
      </c>
      <c r="W25" s="262"/>
      <c r="X25" s="262"/>
      <c r="Y25" s="151"/>
      <c r="Z25" s="153"/>
      <c r="AA25" s="264" t="s">
        <v>14</v>
      </c>
      <c r="AB25" s="264"/>
      <c r="AC25" s="264"/>
      <c r="AD25" s="110"/>
      <c r="AE25" s="44"/>
    </row>
    <row r="26" spans="2:31" ht="17.25" customHeight="1" thickBot="1">
      <c r="B26" s="27"/>
      <c r="C26" s="25"/>
      <c r="D26" s="31"/>
      <c r="E26" s="110"/>
      <c r="F26" s="44"/>
      <c r="G26" s="124" t="s">
        <v>244</v>
      </c>
      <c r="H26" s="154" t="s">
        <v>147</v>
      </c>
      <c r="I26" s="126">
        <f>'Langelier (simplificado)'!E24</f>
        <v>11.64790012119326</v>
      </c>
      <c r="J26" s="133"/>
      <c r="K26" s="46"/>
      <c r="L26" s="60" t="s">
        <v>109</v>
      </c>
      <c r="M26" s="99" t="s">
        <v>238</v>
      </c>
      <c r="N26" s="132">
        <f>'LSI (SM2330)'!E27</f>
        <v>79.65880692345199</v>
      </c>
      <c r="O26" s="147"/>
      <c r="P26" s="113"/>
      <c r="Q26" s="46"/>
      <c r="R26" s="46"/>
      <c r="S26" s="46"/>
      <c r="T26" s="110"/>
      <c r="U26" s="113"/>
      <c r="V26" s="46"/>
      <c r="W26" s="46"/>
      <c r="X26" s="46"/>
      <c r="Y26" s="46"/>
      <c r="Z26" s="113"/>
      <c r="AA26" s="262" t="s">
        <v>15</v>
      </c>
      <c r="AB26" s="262"/>
      <c r="AC26" s="262"/>
      <c r="AD26" s="110"/>
      <c r="AE26" s="44"/>
    </row>
    <row r="27" spans="2:31" ht="17.25" customHeight="1" thickBot="1">
      <c r="B27" s="111" t="s">
        <v>22</v>
      </c>
      <c r="C27" s="64"/>
      <c r="D27" s="171"/>
      <c r="E27" s="110"/>
      <c r="F27" s="44"/>
      <c r="G27" s="46"/>
      <c r="H27" s="46"/>
      <c r="I27" s="46"/>
      <c r="J27" s="110"/>
      <c r="K27" s="46"/>
      <c r="L27" s="60" t="s">
        <v>138</v>
      </c>
      <c r="M27" s="99" t="s">
        <v>110</v>
      </c>
      <c r="N27" s="189">
        <f>'LSI (SM2330)'!E28</f>
        <v>0.5072904529137592</v>
      </c>
      <c r="O27" s="147"/>
      <c r="P27" s="113"/>
      <c r="Q27" s="46"/>
      <c r="R27" s="46"/>
      <c r="S27" s="46"/>
      <c r="T27" s="110"/>
      <c r="U27" s="113"/>
      <c r="V27" s="256" t="s">
        <v>9</v>
      </c>
      <c r="W27" s="256"/>
      <c r="X27" s="256"/>
      <c r="Y27" s="46"/>
      <c r="Z27" s="113"/>
      <c r="AA27" s="46"/>
      <c r="AB27" s="46"/>
      <c r="AC27" s="46"/>
      <c r="AD27" s="110"/>
      <c r="AE27" s="44"/>
    </row>
    <row r="28" spans="2:31" ht="17.25" customHeight="1" thickBot="1">
      <c r="B28" s="173" t="s">
        <v>186</v>
      </c>
      <c r="C28" s="64"/>
      <c r="D28" s="172"/>
      <c r="E28" s="110"/>
      <c r="F28" s="44"/>
      <c r="G28" s="234" t="s">
        <v>245</v>
      </c>
      <c r="H28" s="155" t="s">
        <v>248</v>
      </c>
      <c r="I28" s="122">
        <f>'Langelier (simplificado)'!E26</f>
        <v>-5.44790012119326</v>
      </c>
      <c r="J28" s="123"/>
      <c r="K28" s="46"/>
      <c r="L28" s="62" t="s">
        <v>112</v>
      </c>
      <c r="M28" s="139" t="s">
        <v>111</v>
      </c>
      <c r="N28" s="192">
        <f>'LSI (SM2330)'!E29</f>
        <v>0.026200264941409614</v>
      </c>
      <c r="O28" s="147"/>
      <c r="P28" s="113"/>
      <c r="Q28" s="46"/>
      <c r="R28" s="46"/>
      <c r="S28" s="46"/>
      <c r="T28" s="110"/>
      <c r="U28" s="113"/>
      <c r="V28" s="256"/>
      <c r="W28" s="256"/>
      <c r="X28" s="256"/>
      <c r="Y28" s="46"/>
      <c r="Z28" s="113"/>
      <c r="AA28" s="261" t="s">
        <v>16</v>
      </c>
      <c r="AB28" s="261"/>
      <c r="AC28" s="261"/>
      <c r="AD28" s="156"/>
      <c r="AE28" s="44"/>
    </row>
    <row r="29" spans="2:34" ht="17.25" customHeight="1" thickBot="1">
      <c r="B29" s="101" t="s">
        <v>228</v>
      </c>
      <c r="C29" s="26" t="s">
        <v>223</v>
      </c>
      <c r="D29" s="176">
        <f>D6</f>
        <v>2</v>
      </c>
      <c r="E29" s="110"/>
      <c r="F29" s="44"/>
      <c r="G29" s="46"/>
      <c r="H29" s="46"/>
      <c r="J29" s="110"/>
      <c r="K29" s="46"/>
      <c r="L29" s="69"/>
      <c r="M29" s="146"/>
      <c r="N29" s="46"/>
      <c r="O29" s="46"/>
      <c r="P29" s="113"/>
      <c r="Q29" s="46"/>
      <c r="R29" s="46"/>
      <c r="S29" s="46"/>
      <c r="T29" s="110"/>
      <c r="U29" s="113"/>
      <c r="V29" s="256"/>
      <c r="W29" s="256"/>
      <c r="X29" s="256"/>
      <c r="Y29" s="46"/>
      <c r="Z29" s="113"/>
      <c r="AA29" s="258"/>
      <c r="AB29" s="258"/>
      <c r="AC29" s="258"/>
      <c r="AD29" s="156"/>
      <c r="AE29" s="159"/>
      <c r="AF29" s="3"/>
      <c r="AG29" s="3"/>
      <c r="AH29" s="3"/>
    </row>
    <row r="30" spans="2:31" ht="17.25" customHeight="1" thickBot="1">
      <c r="B30" s="105" t="s">
        <v>229</v>
      </c>
      <c r="C30" s="20" t="s">
        <v>224</v>
      </c>
      <c r="D30" s="177">
        <f>D7</f>
        <v>0</v>
      </c>
      <c r="E30" s="110"/>
      <c r="F30" s="44"/>
      <c r="G30" s="46"/>
      <c r="H30" s="46"/>
      <c r="I30" s="157"/>
      <c r="J30" s="110"/>
      <c r="K30" s="46"/>
      <c r="L30" s="66" t="s">
        <v>44</v>
      </c>
      <c r="M30" s="160" t="s">
        <v>26</v>
      </c>
      <c r="N30" s="126">
        <f>'LSI (SM2330)'!E31</f>
        <v>11.424741769169428</v>
      </c>
      <c r="O30" s="127"/>
      <c r="P30" s="113"/>
      <c r="Q30" s="46"/>
      <c r="R30" s="46"/>
      <c r="S30" s="46"/>
      <c r="T30" s="110"/>
      <c r="U30" s="113"/>
      <c r="V30" s="114"/>
      <c r="W30" s="114"/>
      <c r="X30" s="114"/>
      <c r="Y30" s="46"/>
      <c r="Z30" s="113"/>
      <c r="AA30" s="158"/>
      <c r="AB30" s="158"/>
      <c r="AC30" s="158"/>
      <c r="AD30" s="156"/>
      <c r="AE30" s="44"/>
    </row>
    <row r="31" spans="2:31" ht="17.25" customHeight="1" thickBot="1">
      <c r="B31" s="46"/>
      <c r="C31" s="10"/>
      <c r="D31" s="171"/>
      <c r="E31" s="110"/>
      <c r="F31" s="44"/>
      <c r="G31" s="108" t="s">
        <v>246</v>
      </c>
      <c r="H31" s="131"/>
      <c r="I31" s="131"/>
      <c r="J31" s="110"/>
      <c r="K31" s="46"/>
      <c r="L31" s="64"/>
      <c r="M31" s="99"/>
      <c r="N31" s="46"/>
      <c r="O31" s="46"/>
      <c r="P31" s="113"/>
      <c r="Q31" s="46"/>
      <c r="R31" s="46"/>
      <c r="S31" s="46"/>
      <c r="T31" s="110"/>
      <c r="U31" s="113"/>
      <c r="V31" s="114"/>
      <c r="W31" s="114"/>
      <c r="X31" s="114"/>
      <c r="Y31" s="46"/>
      <c r="Z31" s="113"/>
      <c r="AA31" s="158"/>
      <c r="AB31" s="158"/>
      <c r="AC31" s="158"/>
      <c r="AD31" s="156"/>
      <c r="AE31" s="44"/>
    </row>
    <row r="32" spans="2:31" ht="17.25" customHeight="1" thickBot="1">
      <c r="B32" s="143" t="s">
        <v>137</v>
      </c>
      <c r="C32" s="144" t="s">
        <v>221</v>
      </c>
      <c r="D32" s="178">
        <f>(D29*(50.044/61.008)+2*D30*(50.044/60.008))</f>
        <v>1.640571728297928</v>
      </c>
      <c r="E32" s="110"/>
      <c r="F32" s="44"/>
      <c r="G32" s="108" t="s">
        <v>249</v>
      </c>
      <c r="H32" s="131"/>
      <c r="I32" s="131"/>
      <c r="J32" s="110"/>
      <c r="K32" s="46"/>
      <c r="L32" s="75" t="s">
        <v>266</v>
      </c>
      <c r="M32" s="161" t="s">
        <v>195</v>
      </c>
      <c r="N32" s="122">
        <f>'LSI (SM2330)'!E33</f>
        <v>-5.224741769169428</v>
      </c>
      <c r="O32" s="145"/>
      <c r="P32" s="113"/>
      <c r="Q32" s="46"/>
      <c r="R32" s="46"/>
      <c r="S32" s="46"/>
      <c r="T32" s="110"/>
      <c r="U32" s="113"/>
      <c r="V32" s="114"/>
      <c r="W32" s="114"/>
      <c r="X32" s="114"/>
      <c r="Y32" s="46"/>
      <c r="Z32" s="113"/>
      <c r="AA32" s="158"/>
      <c r="AB32" s="158"/>
      <c r="AC32" s="158"/>
      <c r="AD32" s="156"/>
      <c r="AE32" s="44"/>
    </row>
    <row r="33" spans="2:31" ht="17.25" customHeight="1">
      <c r="B33" s="27"/>
      <c r="C33" s="25"/>
      <c r="D33" s="31"/>
      <c r="E33" s="110"/>
      <c r="F33" s="44"/>
      <c r="G33" s="108" t="s">
        <v>250</v>
      </c>
      <c r="H33" s="131"/>
      <c r="I33" s="131"/>
      <c r="J33" s="110"/>
      <c r="K33" s="46"/>
      <c r="L33" s="46"/>
      <c r="M33" s="46"/>
      <c r="N33" s="157" t="s">
        <v>28</v>
      </c>
      <c r="O33" s="46"/>
      <c r="P33" s="113"/>
      <c r="Q33" s="46"/>
      <c r="R33" s="46"/>
      <c r="S33" s="46"/>
      <c r="T33" s="110"/>
      <c r="U33" s="113"/>
      <c r="V33" s="114"/>
      <c r="W33" s="114"/>
      <c r="X33" s="114"/>
      <c r="Y33" s="46"/>
      <c r="Z33" s="113"/>
      <c r="AA33" s="158"/>
      <c r="AB33" s="158"/>
      <c r="AC33" s="158"/>
      <c r="AD33" s="156"/>
      <c r="AE33" s="44"/>
    </row>
    <row r="34" spans="2:31" ht="17.25" customHeight="1">
      <c r="B34" s="89" t="s">
        <v>88</v>
      </c>
      <c r="C34" s="252" t="s">
        <v>200</v>
      </c>
      <c r="D34" s="252"/>
      <c r="E34" s="110"/>
      <c r="F34" s="44"/>
      <c r="G34" s="131"/>
      <c r="H34" s="131"/>
      <c r="I34" s="131"/>
      <c r="J34" s="110"/>
      <c r="K34" s="44"/>
      <c r="M34" s="108"/>
      <c r="N34" s="108"/>
      <c r="O34" s="138"/>
      <c r="P34" s="113"/>
      <c r="Q34" s="46"/>
      <c r="R34" s="46"/>
      <c r="S34" s="46"/>
      <c r="T34" s="110"/>
      <c r="U34" s="113"/>
      <c r="V34" s="114"/>
      <c r="W34" s="114"/>
      <c r="X34" s="114"/>
      <c r="Y34" s="46"/>
      <c r="Z34" s="113"/>
      <c r="AA34" s="158"/>
      <c r="AB34" s="158"/>
      <c r="AC34" s="158"/>
      <c r="AD34" s="156"/>
      <c r="AE34" s="44"/>
    </row>
    <row r="35" spans="2:31" ht="17.25" customHeight="1">
      <c r="B35" s="93" t="s">
        <v>62</v>
      </c>
      <c r="C35" s="253"/>
      <c r="D35" s="253"/>
      <c r="E35" s="110"/>
      <c r="F35" s="44"/>
      <c r="G35" s="131"/>
      <c r="H35" s="131"/>
      <c r="I35" s="131"/>
      <c r="J35" s="110"/>
      <c r="K35" s="44"/>
      <c r="L35" s="108" t="s">
        <v>166</v>
      </c>
      <c r="M35" s="108"/>
      <c r="N35" s="108"/>
      <c r="O35" s="138"/>
      <c r="P35" s="113"/>
      <c r="Q35" s="46"/>
      <c r="R35" s="46"/>
      <c r="S35" s="46"/>
      <c r="T35" s="110"/>
      <c r="U35" s="113"/>
      <c r="V35" s="114"/>
      <c r="W35" s="114"/>
      <c r="X35" s="114"/>
      <c r="Y35" s="46"/>
      <c r="Z35" s="113"/>
      <c r="AA35" s="158"/>
      <c r="AB35" s="158"/>
      <c r="AC35" s="158"/>
      <c r="AD35" s="156"/>
      <c r="AE35" s="44"/>
    </row>
    <row r="36" spans="2:31" ht="17.25" customHeight="1">
      <c r="B36" s="179" t="s">
        <v>80</v>
      </c>
      <c r="C36" s="248" t="s">
        <v>83</v>
      </c>
      <c r="D36" s="248"/>
      <c r="E36" s="110"/>
      <c r="F36" s="44"/>
      <c r="G36" s="131"/>
      <c r="H36" s="131"/>
      <c r="I36" s="131"/>
      <c r="J36" s="110"/>
      <c r="K36" s="44"/>
      <c r="L36" s="108" t="s">
        <v>167</v>
      </c>
      <c r="M36" s="108"/>
      <c r="N36" s="108"/>
      <c r="O36" s="138"/>
      <c r="P36" s="113"/>
      <c r="Q36" s="46"/>
      <c r="R36" s="46"/>
      <c r="S36" s="46"/>
      <c r="T36" s="110"/>
      <c r="U36" s="113"/>
      <c r="V36" s="114"/>
      <c r="W36" s="114"/>
      <c r="X36" s="114"/>
      <c r="Y36" s="46"/>
      <c r="Z36" s="113"/>
      <c r="AA36" s="158"/>
      <c r="AB36" s="158"/>
      <c r="AC36" s="158"/>
      <c r="AD36" s="156"/>
      <c r="AE36" s="44"/>
    </row>
    <row r="37" spans="2:31" ht="17.25" customHeight="1">
      <c r="B37" s="98" t="s">
        <v>81</v>
      </c>
      <c r="C37" s="248" t="s">
        <v>84</v>
      </c>
      <c r="D37" s="248"/>
      <c r="E37" s="110"/>
      <c r="F37" s="44"/>
      <c r="G37" s="131"/>
      <c r="H37" s="131"/>
      <c r="I37" s="131"/>
      <c r="J37" s="110"/>
      <c r="K37" s="46"/>
      <c r="L37" s="108" t="s">
        <v>262</v>
      </c>
      <c r="M37" s="46"/>
      <c r="N37" s="46"/>
      <c r="O37" s="46"/>
      <c r="P37" s="113"/>
      <c r="Q37" s="46"/>
      <c r="R37" s="46"/>
      <c r="S37" s="46"/>
      <c r="T37" s="110"/>
      <c r="U37" s="113"/>
      <c r="V37" s="114"/>
      <c r="W37" s="114"/>
      <c r="X37" s="114"/>
      <c r="Y37" s="46"/>
      <c r="Z37" s="113"/>
      <c r="AA37" s="158"/>
      <c r="AB37" s="158"/>
      <c r="AC37" s="158"/>
      <c r="AD37" s="156"/>
      <c r="AE37" s="44"/>
    </row>
    <row r="38" spans="2:31" ht="17.25" customHeight="1">
      <c r="B38" s="98" t="s">
        <v>82</v>
      </c>
      <c r="C38" s="248" t="s">
        <v>85</v>
      </c>
      <c r="D38" s="248"/>
      <c r="E38" s="110"/>
      <c r="F38" s="44"/>
      <c r="G38" s="131"/>
      <c r="H38" s="131"/>
      <c r="I38" s="131"/>
      <c r="J38" s="110"/>
      <c r="K38" s="46"/>
      <c r="L38" s="46"/>
      <c r="M38" s="46"/>
      <c r="N38" s="46"/>
      <c r="O38" s="46"/>
      <c r="P38" s="113"/>
      <c r="Q38" s="46"/>
      <c r="R38" s="46"/>
      <c r="S38" s="46"/>
      <c r="T38" s="110"/>
      <c r="U38" s="113"/>
      <c r="V38" s="114"/>
      <c r="W38" s="114"/>
      <c r="X38" s="114"/>
      <c r="Y38" s="46"/>
      <c r="Z38" s="113"/>
      <c r="AA38" s="158"/>
      <c r="AB38" s="158"/>
      <c r="AC38" s="158"/>
      <c r="AD38" s="156"/>
      <c r="AE38" s="44"/>
    </row>
    <row r="39" spans="2:34" ht="17.25" customHeight="1">
      <c r="B39" s="180" t="s">
        <v>125</v>
      </c>
      <c r="C39" s="251" t="s">
        <v>86</v>
      </c>
      <c r="D39" s="251"/>
      <c r="E39" s="110"/>
      <c r="F39" s="44"/>
      <c r="G39" s="131"/>
      <c r="H39" s="131"/>
      <c r="I39" s="131"/>
      <c r="J39" s="110"/>
      <c r="K39" s="46"/>
      <c r="L39" s="46"/>
      <c r="M39" s="46"/>
      <c r="N39" s="46"/>
      <c r="O39" s="46"/>
      <c r="P39" s="113"/>
      <c r="Q39" s="46"/>
      <c r="R39" s="46"/>
      <c r="S39" s="46"/>
      <c r="T39" s="110"/>
      <c r="U39" s="113"/>
      <c r="V39" s="114"/>
      <c r="W39" s="114"/>
      <c r="X39" s="114"/>
      <c r="Y39" s="46"/>
      <c r="Z39" s="113"/>
      <c r="AA39" s="158"/>
      <c r="AB39" s="158"/>
      <c r="AC39" s="158"/>
      <c r="AD39" s="156"/>
      <c r="AE39" s="162"/>
      <c r="AF39" s="7"/>
      <c r="AG39" s="7"/>
      <c r="AH39" s="7"/>
    </row>
    <row r="40" spans="2:34" ht="17.25" customHeight="1">
      <c r="B40" s="181"/>
      <c r="C40" s="182"/>
      <c r="D40" s="171"/>
      <c r="E40" s="110"/>
      <c r="F40" s="44"/>
      <c r="G40" s="131"/>
      <c r="H40" s="131"/>
      <c r="I40" s="131"/>
      <c r="J40" s="110"/>
      <c r="K40" s="46"/>
      <c r="L40" s="46"/>
      <c r="M40" s="46"/>
      <c r="N40" s="46"/>
      <c r="O40" s="46"/>
      <c r="P40" s="113"/>
      <c r="Q40" s="46"/>
      <c r="R40" s="46"/>
      <c r="S40" s="46"/>
      <c r="T40" s="110"/>
      <c r="U40" s="113"/>
      <c r="V40" s="114"/>
      <c r="W40" s="114"/>
      <c r="X40" s="114"/>
      <c r="Y40" s="46"/>
      <c r="Z40" s="113"/>
      <c r="AA40" s="158"/>
      <c r="AB40" s="158"/>
      <c r="AC40" s="158"/>
      <c r="AD40" s="156"/>
      <c r="AE40" s="162"/>
      <c r="AF40" s="7"/>
      <c r="AG40" s="7"/>
      <c r="AH40" s="7"/>
    </row>
    <row r="41" spans="2:31" ht="17.25" customHeight="1">
      <c r="B41" s="89" t="s">
        <v>137</v>
      </c>
      <c r="C41" s="252" t="s">
        <v>200</v>
      </c>
      <c r="D41" s="252"/>
      <c r="E41" s="110"/>
      <c r="F41" s="44"/>
      <c r="G41" s="244" t="s">
        <v>263</v>
      </c>
      <c r="H41" s="244"/>
      <c r="I41" s="244"/>
      <c r="J41" s="110"/>
      <c r="K41" s="46"/>
      <c r="L41" s="245" t="s">
        <v>264</v>
      </c>
      <c r="M41" s="246"/>
      <c r="N41" s="246"/>
      <c r="O41" s="46"/>
      <c r="P41" s="113"/>
      <c r="Q41" s="46"/>
      <c r="R41" s="46"/>
      <c r="S41" s="46"/>
      <c r="T41" s="110"/>
      <c r="U41" s="113"/>
      <c r="V41" s="114"/>
      <c r="W41" s="114"/>
      <c r="X41" s="114"/>
      <c r="Y41" s="46"/>
      <c r="Z41" s="113"/>
      <c r="AA41" s="158"/>
      <c r="AB41" s="158"/>
      <c r="AC41" s="158"/>
      <c r="AD41" s="156"/>
      <c r="AE41" s="44"/>
    </row>
    <row r="42" spans="2:31" ht="17.25" customHeight="1">
      <c r="B42" s="93" t="s">
        <v>62</v>
      </c>
      <c r="C42" s="253"/>
      <c r="D42" s="253"/>
      <c r="E42" s="110"/>
      <c r="F42" s="44"/>
      <c r="G42" s="244"/>
      <c r="H42" s="244"/>
      <c r="I42" s="244"/>
      <c r="J42" s="110"/>
      <c r="K42" s="46"/>
      <c r="L42" s="246"/>
      <c r="M42" s="246"/>
      <c r="N42" s="246"/>
      <c r="O42" s="46"/>
      <c r="P42" s="113"/>
      <c r="Q42" s="46"/>
      <c r="R42" s="46"/>
      <c r="S42" s="46"/>
      <c r="T42" s="110"/>
      <c r="U42" s="113"/>
      <c r="V42" s="114"/>
      <c r="W42" s="114"/>
      <c r="X42" s="114"/>
      <c r="Y42" s="46"/>
      <c r="Z42" s="113"/>
      <c r="AA42" s="158"/>
      <c r="AB42" s="158"/>
      <c r="AC42" s="158"/>
      <c r="AD42" s="156"/>
      <c r="AE42" s="44"/>
    </row>
    <row r="43" spans="2:31" ht="17.25" customHeight="1">
      <c r="B43" s="179" t="s">
        <v>126</v>
      </c>
      <c r="C43" s="248" t="s">
        <v>201</v>
      </c>
      <c r="D43" s="248"/>
      <c r="E43" s="110"/>
      <c r="F43" s="44"/>
      <c r="G43" s="131"/>
      <c r="H43" s="131"/>
      <c r="I43" s="131"/>
      <c r="J43" s="110"/>
      <c r="K43" s="46"/>
      <c r="L43" s="246"/>
      <c r="M43" s="246"/>
      <c r="N43" s="246"/>
      <c r="O43" s="46"/>
      <c r="P43" s="113"/>
      <c r="Q43" s="46"/>
      <c r="R43" s="46"/>
      <c r="S43" s="46"/>
      <c r="T43" s="110"/>
      <c r="U43" s="113"/>
      <c r="V43" s="114"/>
      <c r="W43" s="114"/>
      <c r="X43" s="114"/>
      <c r="Y43" s="46"/>
      <c r="Z43" s="113"/>
      <c r="AA43" s="158"/>
      <c r="AB43" s="158"/>
      <c r="AC43" s="158"/>
      <c r="AD43" s="156"/>
      <c r="AE43" s="44"/>
    </row>
    <row r="44" spans="2:31" ht="17.25" customHeight="1">
      <c r="B44" s="98" t="s">
        <v>74</v>
      </c>
      <c r="C44" s="248" t="s">
        <v>70</v>
      </c>
      <c r="D44" s="248"/>
      <c r="E44" s="110"/>
      <c r="F44" s="44"/>
      <c r="G44" s="131"/>
      <c r="H44" s="131"/>
      <c r="I44" s="131"/>
      <c r="J44" s="110"/>
      <c r="K44" s="46"/>
      <c r="L44" s="247"/>
      <c r="M44" s="247"/>
      <c r="N44" s="247"/>
      <c r="O44" s="46"/>
      <c r="P44" s="113"/>
      <c r="Q44" s="46"/>
      <c r="R44" s="46"/>
      <c r="S44" s="46"/>
      <c r="T44" s="110"/>
      <c r="U44" s="113"/>
      <c r="V44" s="114"/>
      <c r="W44" s="114"/>
      <c r="X44" s="114"/>
      <c r="Y44" s="46"/>
      <c r="Z44" s="113"/>
      <c r="AA44" s="158"/>
      <c r="AB44" s="158"/>
      <c r="AC44" s="158"/>
      <c r="AD44" s="156"/>
      <c r="AE44" s="44"/>
    </row>
    <row r="45" spans="2:31" ht="17.25" customHeight="1">
      <c r="B45" s="98" t="s">
        <v>75</v>
      </c>
      <c r="C45" s="248" t="s">
        <v>71</v>
      </c>
      <c r="D45" s="248"/>
      <c r="E45" s="110"/>
      <c r="F45" s="44"/>
      <c r="G45" s="131"/>
      <c r="H45" s="131"/>
      <c r="I45" s="131"/>
      <c r="J45" s="110"/>
      <c r="K45" s="46"/>
      <c r="L45" s="239" t="s">
        <v>40</v>
      </c>
      <c r="M45" s="247"/>
      <c r="N45" s="247"/>
      <c r="O45" s="46"/>
      <c r="P45" s="113"/>
      <c r="Q45" s="46"/>
      <c r="R45" s="46"/>
      <c r="S45" s="46"/>
      <c r="T45" s="110"/>
      <c r="U45" s="113"/>
      <c r="V45" s="114"/>
      <c r="W45" s="114"/>
      <c r="X45" s="114"/>
      <c r="Y45" s="46"/>
      <c r="Z45" s="113"/>
      <c r="AA45" s="158"/>
      <c r="AB45" s="158"/>
      <c r="AC45" s="158"/>
      <c r="AD45" s="156"/>
      <c r="AE45" s="44"/>
    </row>
    <row r="46" spans="2:31" ht="17.25" customHeight="1">
      <c r="B46" s="98" t="s">
        <v>76</v>
      </c>
      <c r="C46" s="248" t="s">
        <v>72</v>
      </c>
      <c r="D46" s="248"/>
      <c r="E46" s="110"/>
      <c r="F46" s="44"/>
      <c r="G46" s="131"/>
      <c r="H46" s="131"/>
      <c r="I46" s="131"/>
      <c r="J46" s="110"/>
      <c r="K46" s="46"/>
      <c r="L46" s="247"/>
      <c r="M46" s="247"/>
      <c r="N46" s="247"/>
      <c r="O46" s="46"/>
      <c r="P46" s="113"/>
      <c r="Q46" s="46"/>
      <c r="R46" s="46"/>
      <c r="S46" s="46"/>
      <c r="T46" s="110"/>
      <c r="U46" s="113"/>
      <c r="V46" s="114"/>
      <c r="W46" s="114"/>
      <c r="X46" s="114"/>
      <c r="Y46" s="46"/>
      <c r="Z46" s="113"/>
      <c r="AA46" s="158"/>
      <c r="AB46" s="158"/>
      <c r="AC46" s="158"/>
      <c r="AD46" s="156"/>
      <c r="AE46" s="44"/>
    </row>
    <row r="47" spans="2:31" ht="17.25" customHeight="1">
      <c r="B47" s="180" t="s">
        <v>127</v>
      </c>
      <c r="C47" s="251" t="s">
        <v>73</v>
      </c>
      <c r="D47" s="251"/>
      <c r="E47" s="110"/>
      <c r="F47" s="44"/>
      <c r="G47" s="131"/>
      <c r="H47" s="131"/>
      <c r="I47" s="131"/>
      <c r="J47" s="110"/>
      <c r="K47" s="46"/>
      <c r="L47" s="46"/>
      <c r="M47" s="46"/>
      <c r="N47" s="46"/>
      <c r="O47" s="46"/>
      <c r="P47" s="113"/>
      <c r="Q47" s="46"/>
      <c r="R47" s="46"/>
      <c r="S47" s="46"/>
      <c r="T47" s="110"/>
      <c r="U47" s="113"/>
      <c r="V47" s="114"/>
      <c r="W47" s="114"/>
      <c r="X47" s="114"/>
      <c r="Y47" s="46"/>
      <c r="Z47" s="113"/>
      <c r="AA47" s="158"/>
      <c r="AB47" s="158"/>
      <c r="AC47" s="158"/>
      <c r="AD47" s="156"/>
      <c r="AE47" s="44"/>
    </row>
    <row r="48" spans="2:31" ht="17.25" customHeight="1">
      <c r="B48" s="46"/>
      <c r="C48" s="46"/>
      <c r="D48" s="171"/>
      <c r="E48" s="110"/>
      <c r="F48" s="44"/>
      <c r="G48" s="131"/>
      <c r="H48" s="131"/>
      <c r="I48" s="131"/>
      <c r="J48" s="110"/>
      <c r="K48" s="46"/>
      <c r="L48" s="46"/>
      <c r="M48" s="46"/>
      <c r="N48" s="46"/>
      <c r="O48" s="46"/>
      <c r="P48" s="113"/>
      <c r="Q48" s="46"/>
      <c r="R48" s="46"/>
      <c r="S48" s="46"/>
      <c r="T48" s="110"/>
      <c r="U48" s="113"/>
      <c r="V48" s="114"/>
      <c r="W48" s="114"/>
      <c r="X48" s="114"/>
      <c r="Y48" s="46"/>
      <c r="Z48" s="113"/>
      <c r="AA48" s="158"/>
      <c r="AB48" s="158"/>
      <c r="AC48" s="158"/>
      <c r="AD48" s="156"/>
      <c r="AE48" s="44"/>
    </row>
    <row r="49" spans="2:31" ht="17.25" customHeight="1">
      <c r="B49" s="254" t="s">
        <v>41</v>
      </c>
      <c r="C49" s="255"/>
      <c r="D49" s="255"/>
      <c r="E49" s="163"/>
      <c r="F49" s="164"/>
      <c r="G49" s="257" t="s">
        <v>203</v>
      </c>
      <c r="H49" s="256"/>
      <c r="I49" s="256"/>
      <c r="J49" s="163"/>
      <c r="K49" s="165"/>
      <c r="L49" s="259" t="s">
        <v>202</v>
      </c>
      <c r="M49" s="237"/>
      <c r="N49" s="237"/>
      <c r="O49" s="165"/>
      <c r="P49" s="113"/>
      <c r="Q49" s="257" t="s">
        <v>99</v>
      </c>
      <c r="R49" s="256"/>
      <c r="S49" s="256"/>
      <c r="T49" s="163"/>
      <c r="U49" s="113"/>
      <c r="V49" s="257" t="s">
        <v>8</v>
      </c>
      <c r="W49" s="257"/>
      <c r="X49" s="257"/>
      <c r="Y49" s="46"/>
      <c r="Z49" s="166"/>
      <c r="AA49" s="240" t="s">
        <v>98</v>
      </c>
      <c r="AB49" s="241"/>
      <c r="AC49" s="241"/>
      <c r="AD49" s="167"/>
      <c r="AE49" s="44"/>
    </row>
    <row r="50" spans="2:31" ht="17.25" customHeight="1">
      <c r="B50" s="255"/>
      <c r="C50" s="255"/>
      <c r="D50" s="255"/>
      <c r="E50" s="163"/>
      <c r="F50" s="164"/>
      <c r="G50" s="256"/>
      <c r="H50" s="256"/>
      <c r="I50" s="256"/>
      <c r="J50" s="163"/>
      <c r="K50" s="165"/>
      <c r="L50" s="237"/>
      <c r="M50" s="237"/>
      <c r="N50" s="237"/>
      <c r="O50" s="165"/>
      <c r="P50" s="113"/>
      <c r="Q50" s="256"/>
      <c r="R50" s="256"/>
      <c r="S50" s="256"/>
      <c r="T50" s="163"/>
      <c r="U50" s="113"/>
      <c r="V50" s="257"/>
      <c r="W50" s="257"/>
      <c r="X50" s="257"/>
      <c r="Y50" s="46"/>
      <c r="Z50" s="168"/>
      <c r="AA50" s="241"/>
      <c r="AB50" s="241"/>
      <c r="AC50" s="241"/>
      <c r="AD50" s="167"/>
      <c r="AE50" s="44"/>
    </row>
    <row r="51" spans="2:31" ht="17.25" customHeight="1">
      <c r="B51" s="183"/>
      <c r="C51" s="183"/>
      <c r="D51" s="183"/>
      <c r="E51" s="169"/>
      <c r="F51" s="44"/>
      <c r="G51" s="256"/>
      <c r="H51" s="256"/>
      <c r="I51" s="256"/>
      <c r="J51" s="163"/>
      <c r="K51" s="46"/>
      <c r="L51" s="238"/>
      <c r="M51" s="238"/>
      <c r="N51" s="238"/>
      <c r="O51" s="46"/>
      <c r="P51" s="113"/>
      <c r="Q51" s="256"/>
      <c r="R51" s="256"/>
      <c r="S51" s="256"/>
      <c r="T51" s="163"/>
      <c r="U51" s="113"/>
      <c r="V51" s="257"/>
      <c r="W51" s="257"/>
      <c r="X51" s="257"/>
      <c r="Y51" s="46"/>
      <c r="Z51" s="168"/>
      <c r="AA51" s="241"/>
      <c r="AB51" s="241"/>
      <c r="AC51" s="241"/>
      <c r="AD51" s="167"/>
      <c r="AE51" s="44"/>
    </row>
    <row r="52" spans="2:31" ht="17.25" customHeight="1">
      <c r="B52" s="46"/>
      <c r="C52" s="46"/>
      <c r="D52" s="171"/>
      <c r="E52" s="110"/>
      <c r="F52" s="44"/>
      <c r="G52" s="256"/>
      <c r="H52" s="256"/>
      <c r="I52" s="256"/>
      <c r="J52" s="110"/>
      <c r="K52" s="44"/>
      <c r="L52" s="165"/>
      <c r="M52" s="165"/>
      <c r="N52" s="165"/>
      <c r="O52" s="44"/>
      <c r="P52" s="113"/>
      <c r="Q52" s="256"/>
      <c r="R52" s="256"/>
      <c r="S52" s="256"/>
      <c r="T52" s="170"/>
      <c r="U52" s="113"/>
      <c r="V52" s="257"/>
      <c r="W52" s="257"/>
      <c r="X52" s="257"/>
      <c r="Y52" s="46"/>
      <c r="Z52" s="168"/>
      <c r="AA52" s="241"/>
      <c r="AB52" s="241"/>
      <c r="AC52" s="241"/>
      <c r="AD52" s="167"/>
      <c r="AE52" s="44"/>
    </row>
    <row r="53" spans="2:31" ht="17.25" customHeight="1">
      <c r="B53" s="46"/>
      <c r="C53" s="46"/>
      <c r="D53" s="171"/>
      <c r="E53" s="110"/>
      <c r="F53" s="44"/>
      <c r="G53" s="256"/>
      <c r="H53" s="256"/>
      <c r="I53" s="256"/>
      <c r="J53" s="110"/>
      <c r="K53" s="44"/>
      <c r="L53" s="44"/>
      <c r="M53" s="44"/>
      <c r="N53" s="44"/>
      <c r="O53" s="44"/>
      <c r="P53" s="113"/>
      <c r="Q53" s="46"/>
      <c r="R53" s="46"/>
      <c r="S53" s="46"/>
      <c r="T53" s="110"/>
      <c r="U53" s="113"/>
      <c r="V53" s="257"/>
      <c r="W53" s="257"/>
      <c r="X53" s="257"/>
      <c r="Y53" s="46"/>
      <c r="Z53" s="113"/>
      <c r="AA53" s="241"/>
      <c r="AB53" s="241"/>
      <c r="AC53" s="241"/>
      <c r="AD53" s="110"/>
      <c r="AE53" s="44"/>
    </row>
    <row r="54" spans="2:31" ht="17.25" customHeight="1">
      <c r="B54" s="46"/>
      <c r="C54" s="46"/>
      <c r="D54" s="171"/>
      <c r="E54" s="110"/>
      <c r="F54" s="44"/>
      <c r="G54" s="256"/>
      <c r="H54" s="256"/>
      <c r="I54" s="256"/>
      <c r="J54" s="110"/>
      <c r="K54" s="44"/>
      <c r="L54" s="44"/>
      <c r="M54" s="44"/>
      <c r="N54" s="44"/>
      <c r="O54" s="44"/>
      <c r="P54" s="113"/>
      <c r="Q54" s="46"/>
      <c r="R54" s="46"/>
      <c r="S54" s="46"/>
      <c r="T54" s="110"/>
      <c r="U54" s="113"/>
      <c r="V54" s="257"/>
      <c r="W54" s="257"/>
      <c r="X54" s="257"/>
      <c r="Y54" s="46"/>
      <c r="Z54" s="113"/>
      <c r="AA54" s="46"/>
      <c r="AB54" s="46"/>
      <c r="AC54" s="46"/>
      <c r="AD54" s="110"/>
      <c r="AE54" s="44"/>
    </row>
    <row r="55" spans="2:31" ht="17.25" customHeight="1">
      <c r="B55" s="46"/>
      <c r="C55" s="46"/>
      <c r="D55" s="171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165"/>
      <c r="W55" s="165"/>
      <c r="X55" s="165"/>
      <c r="Y55" s="46"/>
      <c r="Z55" s="46"/>
      <c r="AA55" s="46"/>
      <c r="AB55" s="46"/>
      <c r="AC55" s="46"/>
      <c r="AD55" s="46"/>
      <c r="AE55" s="46"/>
    </row>
    <row r="56" spans="2:31" ht="17.25" customHeight="1">
      <c r="B56" s="46"/>
      <c r="C56" s="46"/>
      <c r="D56" s="171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54"/>
      <c r="AD56" s="46"/>
      <c r="AE56" s="46"/>
    </row>
    <row r="57" spans="2:31" ht="17.25" customHeight="1">
      <c r="B57" s="46"/>
      <c r="C57" s="46"/>
      <c r="D57" s="171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</row>
    <row r="58" spans="2:31" ht="17.25" customHeight="1">
      <c r="B58" s="46"/>
      <c r="C58" s="46"/>
      <c r="D58" s="171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</row>
    <row r="59" spans="2:31" ht="15">
      <c r="B59" s="46"/>
      <c r="C59" s="46"/>
      <c r="D59" s="171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254"/>
      <c r="X59" s="255"/>
      <c r="Y59" s="255"/>
      <c r="Z59" s="255"/>
      <c r="AA59" s="255"/>
      <c r="AB59" s="46"/>
      <c r="AC59" s="46"/>
      <c r="AD59" s="46"/>
      <c r="AE59" s="46"/>
    </row>
    <row r="60" spans="2:31" ht="15">
      <c r="B60" s="46"/>
      <c r="C60" s="46"/>
      <c r="D60" s="171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255"/>
      <c r="X60" s="255"/>
      <c r="Y60" s="255"/>
      <c r="Z60" s="255"/>
      <c r="AA60" s="255"/>
      <c r="AB60" s="46"/>
      <c r="AC60" s="46"/>
      <c r="AD60" s="46"/>
      <c r="AE60" s="46"/>
    </row>
    <row r="61" spans="2:31" ht="15">
      <c r="B61" s="46"/>
      <c r="C61" s="46"/>
      <c r="D61" s="171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255"/>
      <c r="X61" s="255"/>
      <c r="Y61" s="255"/>
      <c r="Z61" s="255"/>
      <c r="AA61" s="255"/>
      <c r="AB61" s="46"/>
      <c r="AC61" s="46"/>
      <c r="AD61" s="46"/>
      <c r="AE61" s="46"/>
    </row>
    <row r="62" spans="2:31" ht="15">
      <c r="B62" s="46"/>
      <c r="C62" s="46"/>
      <c r="D62" s="171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255"/>
      <c r="X62" s="255"/>
      <c r="Y62" s="255"/>
      <c r="Z62" s="255"/>
      <c r="AA62" s="255"/>
      <c r="AB62" s="46"/>
      <c r="AC62" s="46"/>
      <c r="AD62" s="46"/>
      <c r="AE62" s="46"/>
    </row>
    <row r="63" spans="2:31" ht="15">
      <c r="B63" s="46"/>
      <c r="C63" s="46"/>
      <c r="D63" s="171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2:31" ht="15">
      <c r="B64" s="46"/>
      <c r="C64" s="46"/>
      <c r="D64" s="171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spans="2:31" ht="15">
      <c r="B65" s="46"/>
      <c r="C65" s="46"/>
      <c r="D65" s="171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</row>
    <row r="66" spans="2:31" ht="15">
      <c r="B66" s="46"/>
      <c r="C66" s="46"/>
      <c r="D66" s="171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2:31" ht="16.5">
      <c r="B67" s="184" t="s">
        <v>169</v>
      </c>
      <c r="C67" s="46"/>
      <c r="D67" s="171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2:31" ht="15">
      <c r="B68" s="46"/>
      <c r="C68" s="46"/>
      <c r="D68" s="171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2:31" ht="15">
      <c r="B69" s="9"/>
      <c r="C69" s="9"/>
      <c r="D69" s="13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2:31" ht="15">
      <c r="B70" s="9"/>
      <c r="C70" s="9"/>
      <c r="D70" s="13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2:31" ht="15">
      <c r="B71" s="9"/>
      <c r="C71" s="9"/>
      <c r="D71" s="13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2:31" ht="15">
      <c r="B72" s="9"/>
      <c r="C72" s="9"/>
      <c r="D72" s="13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2:31" ht="15">
      <c r="B73" s="9"/>
      <c r="C73" s="9"/>
      <c r="D73" s="13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U73" s="21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2:31" ht="15">
      <c r="B74" s="9"/>
      <c r="C74" s="9"/>
      <c r="D74" s="13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U74" s="21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2:31" ht="15">
      <c r="B75" s="9"/>
      <c r="C75" s="9"/>
      <c r="D75" s="13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U75" s="21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2:31" ht="15">
      <c r="B76" s="9"/>
      <c r="C76" s="9"/>
      <c r="D76" s="1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2:31" ht="15">
      <c r="B77" s="9"/>
      <c r="C77" s="9"/>
      <c r="D77" s="13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2:31" ht="15">
      <c r="B78" s="9"/>
      <c r="C78" s="9"/>
      <c r="D78" s="13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2:31" ht="15">
      <c r="B79" s="9"/>
      <c r="C79" s="9"/>
      <c r="D79" s="13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2:31" ht="15">
      <c r="B80" s="9"/>
      <c r="C80" s="9"/>
      <c r="D80" s="13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2:31" ht="15">
      <c r="B81" s="9"/>
      <c r="C81" s="9"/>
      <c r="D81" s="13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2:31" ht="15">
      <c r="B82" s="9"/>
      <c r="C82" s="9"/>
      <c r="D82" s="13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2:31" ht="15">
      <c r="B83" s="9"/>
      <c r="C83" s="9"/>
      <c r="D83" s="1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2:31" ht="15">
      <c r="B84" s="9"/>
      <c r="C84" s="9"/>
      <c r="D84" s="13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2:31" ht="15">
      <c r="B85" s="9"/>
      <c r="C85" s="9"/>
      <c r="D85" s="13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2:31" ht="15">
      <c r="B86" s="9"/>
      <c r="C86" s="9"/>
      <c r="D86" s="13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2:31" ht="15">
      <c r="B87" s="9"/>
      <c r="C87" s="9"/>
      <c r="D87" s="1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2:31" ht="15">
      <c r="B88" s="9"/>
      <c r="C88" s="9"/>
      <c r="D88" s="13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2:31" ht="15">
      <c r="B89" s="9"/>
      <c r="C89" s="9"/>
      <c r="D89" s="13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2:31" ht="15">
      <c r="B90" s="9"/>
      <c r="C90" s="9"/>
      <c r="D90" s="13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2:31" ht="15">
      <c r="B91" s="9"/>
      <c r="C91" s="9"/>
      <c r="D91" s="13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2:31" ht="15">
      <c r="B92" s="9"/>
      <c r="C92" s="9"/>
      <c r="D92" s="13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2:31" ht="15">
      <c r="B93" s="9"/>
      <c r="C93" s="9"/>
      <c r="D93" s="13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2:31" ht="15">
      <c r="B94" s="9"/>
      <c r="C94" s="9"/>
      <c r="D94" s="13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2:31" ht="15">
      <c r="B95" s="9"/>
      <c r="C95" s="9"/>
      <c r="D95" s="13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2:31" ht="15">
      <c r="B96" s="9"/>
      <c r="C96" s="9"/>
      <c r="D96" s="13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2:31" ht="15">
      <c r="B97" s="9"/>
      <c r="C97" s="9"/>
      <c r="D97" s="13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2:31" ht="15">
      <c r="B98" s="9"/>
      <c r="C98" s="9"/>
      <c r="D98" s="13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2:31" ht="15">
      <c r="B99" s="9"/>
      <c r="C99" s="9"/>
      <c r="D99" s="13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2:31" ht="15">
      <c r="B100" s="9"/>
      <c r="C100" s="9"/>
      <c r="D100" s="13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2:31" ht="15">
      <c r="B101" s="9"/>
      <c r="C101" s="9"/>
      <c r="D101" s="13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2:31" ht="15">
      <c r="B102" s="9"/>
      <c r="C102" s="9"/>
      <c r="D102" s="13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2:31" ht="15">
      <c r="B103" s="9"/>
      <c r="C103" s="9"/>
      <c r="D103" s="13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2:31" ht="15">
      <c r="B104" s="9"/>
      <c r="C104" s="9"/>
      <c r="D104" s="13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2:31" ht="15">
      <c r="B105" s="9"/>
      <c r="C105" s="9"/>
      <c r="D105" s="13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</sheetData>
  <sheetProtection password="CC41" sheet="1" objects="1" scenarios="1" selectLockedCells="1"/>
  <mergeCells count="38">
    <mergeCell ref="V3:AC4"/>
    <mergeCell ref="W59:AA62"/>
    <mergeCell ref="AA24:AC24"/>
    <mergeCell ref="AA25:AC25"/>
    <mergeCell ref="Q15:T16"/>
    <mergeCell ref="AA15:AC16"/>
    <mergeCell ref="AA28:AC28"/>
    <mergeCell ref="L15:N16"/>
    <mergeCell ref="V15:Y16"/>
    <mergeCell ref="AA26:AC26"/>
    <mergeCell ref="V23:Y23"/>
    <mergeCell ref="V25:X25"/>
    <mergeCell ref="V24:X24"/>
    <mergeCell ref="Q49:S52"/>
    <mergeCell ref="V27:X29"/>
    <mergeCell ref="AA29:AC29"/>
    <mergeCell ref="L49:N51"/>
    <mergeCell ref="L45:N46"/>
    <mergeCell ref="AA49:AC53"/>
    <mergeCell ref="V49:X54"/>
    <mergeCell ref="B49:D50"/>
    <mergeCell ref="G15:I16"/>
    <mergeCell ref="G49:I54"/>
    <mergeCell ref="C36:D36"/>
    <mergeCell ref="C37:D37"/>
    <mergeCell ref="C38:D38"/>
    <mergeCell ref="C47:D47"/>
    <mergeCell ref="C43:D43"/>
    <mergeCell ref="C44:D44"/>
    <mergeCell ref="C45:D45"/>
    <mergeCell ref="G41:I42"/>
    <mergeCell ref="L41:N44"/>
    <mergeCell ref="C46:D46"/>
    <mergeCell ref="B8:C8"/>
    <mergeCell ref="C39:D39"/>
    <mergeCell ref="C34:D35"/>
    <mergeCell ref="C41:D42"/>
    <mergeCell ref="F10:H11"/>
  </mergeCells>
  <printOptions horizontalCentered="1"/>
  <pageMargins left="0.31496062992125984" right="0.7874015748031497" top="0.5" bottom="0.984251968503937" header="0" footer="0"/>
  <pageSetup fitToHeight="1" fitToWidth="1" horizontalDpi="600" verticalDpi="600" orientation="landscape" paperSize="9" scale="51"/>
  <drawing r:id="rId3"/>
  <legacyDrawing r:id="rId2"/>
  <oleObjects>
    <oleObject progId="CorelPhotoPaint.Image.8" shapeId="127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V42"/>
  <sheetViews>
    <sheetView workbookViewId="0" topLeftCell="A1">
      <selection activeCell="D27" sqref="D27"/>
    </sheetView>
  </sheetViews>
  <sheetFormatPr defaultColWidth="11.421875" defaultRowHeight="12.75"/>
  <cols>
    <col min="1" max="1" width="2.28125" style="44" customWidth="1"/>
    <col min="2" max="2" width="11.421875" style="44" customWidth="1"/>
    <col min="3" max="3" width="19.140625" style="44" customWidth="1"/>
    <col min="4" max="4" width="16.140625" style="44" customWidth="1"/>
    <col min="5" max="5" width="10.7109375" style="44" customWidth="1"/>
    <col min="6" max="6" width="6.421875" style="44" customWidth="1"/>
    <col min="7" max="16384" width="11.421875" style="44" customWidth="1"/>
  </cols>
  <sheetData>
    <row r="1" s="43" customFormat="1" ht="15">
      <c r="B1" s="43" t="s">
        <v>252</v>
      </c>
    </row>
    <row r="2" spans="15:22" s="43" customFormat="1" ht="16.5" customHeight="1">
      <c r="O2" s="265" t="s">
        <v>251</v>
      </c>
      <c r="P2" s="265"/>
      <c r="Q2" s="265"/>
      <c r="R2" s="265"/>
      <c r="S2" s="265"/>
      <c r="T2" s="265"/>
      <c r="U2" s="185"/>
      <c r="V2" s="97"/>
    </row>
    <row r="3" spans="2:22" ht="15" customHeight="1">
      <c r="B3" s="44" t="s">
        <v>232</v>
      </c>
      <c r="O3" s="265"/>
      <c r="P3" s="265"/>
      <c r="Q3" s="265"/>
      <c r="R3" s="265"/>
      <c r="S3" s="265"/>
      <c r="T3" s="265"/>
      <c r="U3" s="185"/>
      <c r="V3" s="97"/>
    </row>
    <row r="4" spans="15:22" ht="16.5">
      <c r="O4" s="268" t="s">
        <v>23</v>
      </c>
      <c r="P4" s="268"/>
      <c r="Q4" s="268"/>
      <c r="R4" s="268"/>
      <c r="S4" s="8"/>
      <c r="T4" s="8"/>
      <c r="V4" s="8"/>
    </row>
    <row r="5" spans="2:22" ht="16.5">
      <c r="B5" s="45" t="s">
        <v>218</v>
      </c>
      <c r="O5" s="268" t="s">
        <v>207</v>
      </c>
      <c r="P5" s="268"/>
      <c r="Q5" s="268"/>
      <c r="R5" s="8"/>
      <c r="S5" s="8"/>
      <c r="T5" s="8"/>
      <c r="V5" s="8"/>
    </row>
    <row r="6" ht="17.25" thickBot="1">
      <c r="B6" s="45"/>
    </row>
    <row r="7" spans="3:8" s="46" customFormat="1" ht="16.5">
      <c r="C7" s="47" t="s">
        <v>149</v>
      </c>
      <c r="D7" s="48" t="s">
        <v>60</v>
      </c>
      <c r="E7" s="49">
        <f>'Lang,LSI,RSI,PSI, LaI; Alk, TH'!D4</f>
        <v>200</v>
      </c>
      <c r="F7" s="50"/>
      <c r="G7" s="267"/>
      <c r="H7" s="267"/>
    </row>
    <row r="8" spans="3:8" s="46" customFormat="1" ht="16.5">
      <c r="C8" s="51" t="s">
        <v>151</v>
      </c>
      <c r="D8" s="52"/>
      <c r="E8" s="32">
        <f>'Lang,LSI,RSI,PSI, LaI; Alk, TH'!D8</f>
        <v>0.47</v>
      </c>
      <c r="F8" s="50"/>
      <c r="G8" s="267"/>
      <c r="H8" s="267"/>
    </row>
    <row r="9" spans="3:8" s="46" customFormat="1" ht="15">
      <c r="C9" s="51" t="s">
        <v>142</v>
      </c>
      <c r="D9" s="52" t="s">
        <v>236</v>
      </c>
      <c r="E9" s="53">
        <f>'Langelier (simplificado)'!E7*'Langelier (simplificado)'!E8</f>
        <v>94</v>
      </c>
      <c r="F9" s="50"/>
      <c r="G9" s="267"/>
      <c r="H9" s="267"/>
    </row>
    <row r="10" spans="3:5" s="46" customFormat="1" ht="15">
      <c r="C10" s="51" t="s">
        <v>150</v>
      </c>
      <c r="D10" s="54" t="s">
        <v>231</v>
      </c>
      <c r="E10" s="33">
        <f>'Lang,LSI,RSI,PSI, LaI; Alk, TH'!D9</f>
        <v>21</v>
      </c>
    </row>
    <row r="11" spans="3:5" s="46" customFormat="1" ht="15">
      <c r="C11" s="51" t="s">
        <v>225</v>
      </c>
      <c r="D11" s="52"/>
      <c r="E11" s="16">
        <f>'Lang,LSI,RSI,PSI, LaI; Alk, TH'!D3</f>
        <v>6.2</v>
      </c>
    </row>
    <row r="12" spans="3:5" s="46" customFormat="1" ht="18">
      <c r="C12" s="51" t="s">
        <v>174</v>
      </c>
      <c r="D12" s="54" t="s">
        <v>34</v>
      </c>
      <c r="E12" s="16">
        <f>'Lang,LSI,RSI,PSI, LaI; Alk, TH'!D5*10/4.01</f>
        <v>1.2468827930174564</v>
      </c>
    </row>
    <row r="13" spans="3:5" s="46" customFormat="1" ht="18">
      <c r="C13" s="51" t="s">
        <v>175</v>
      </c>
      <c r="D13" s="54" t="s">
        <v>236</v>
      </c>
      <c r="E13" s="16">
        <f>'Lang,LSI,RSI,PSI, LaI; Alk, TH'!D6</f>
        <v>2</v>
      </c>
    </row>
    <row r="14" spans="3:5" s="46" customFormat="1" ht="18">
      <c r="C14" s="51" t="s">
        <v>176</v>
      </c>
      <c r="D14" s="54" t="s">
        <v>236</v>
      </c>
      <c r="E14" s="16">
        <f>'Lang,LSI,RSI,PSI, LaI; Alk, TH'!D7</f>
        <v>0</v>
      </c>
    </row>
    <row r="15" spans="3:5" s="46" customFormat="1" ht="18" thickBot="1">
      <c r="C15" s="55" t="s">
        <v>137</v>
      </c>
      <c r="D15" s="56" t="s">
        <v>34</v>
      </c>
      <c r="E15" s="17">
        <f>(E13*(50.044/61.008)+2*E14*(50.044/60.008))</f>
        <v>1.640571728297928</v>
      </c>
    </row>
    <row r="16" s="46" customFormat="1" ht="15">
      <c r="D16" s="54"/>
    </row>
    <row r="17" spans="2:4" s="46" customFormat="1" ht="15">
      <c r="B17" s="43" t="s">
        <v>219</v>
      </c>
      <c r="D17" s="54"/>
    </row>
    <row r="18" spans="2:4" s="46" customFormat="1" ht="15.75" thickBot="1">
      <c r="B18" s="43"/>
      <c r="D18" s="54"/>
    </row>
    <row r="19" spans="3:5" s="46" customFormat="1" ht="15">
      <c r="C19" s="57" t="s">
        <v>138</v>
      </c>
      <c r="D19" s="58" t="s">
        <v>237</v>
      </c>
      <c r="E19" s="59">
        <f>(LOG10(E9)-1)/10</f>
        <v>0.09731278535996986</v>
      </c>
    </row>
    <row r="20" spans="3:5" s="46" customFormat="1" ht="15">
      <c r="C20" s="60" t="s">
        <v>139</v>
      </c>
      <c r="D20" s="61" t="s">
        <v>238</v>
      </c>
      <c r="E20" s="16">
        <f>-13.12*LOG10(E10+273.2)+34.55</f>
        <v>2.1614081907033693</v>
      </c>
    </row>
    <row r="21" spans="3:5" s="46" customFormat="1" ht="15">
      <c r="C21" s="60" t="s">
        <v>140</v>
      </c>
      <c r="D21" s="61" t="s">
        <v>145</v>
      </c>
      <c r="E21" s="16">
        <f>LOG10(E12)-0.4</f>
        <v>-0.3041743682841635</v>
      </c>
    </row>
    <row r="22" spans="3:5" s="46" customFormat="1" ht="15.75" thickBot="1">
      <c r="C22" s="62" t="s">
        <v>141</v>
      </c>
      <c r="D22" s="63" t="s">
        <v>146</v>
      </c>
      <c r="E22" s="17">
        <f>LOG10(E15)</f>
        <v>0.21499522315424413</v>
      </c>
    </row>
    <row r="23" spans="3:5" s="46" customFormat="1" ht="15.75" thickBot="1">
      <c r="C23" s="64"/>
      <c r="D23" s="61"/>
      <c r="E23" s="65"/>
    </row>
    <row r="24" spans="3:5" s="46" customFormat="1" ht="18" thickBot="1">
      <c r="C24" s="66" t="s">
        <v>258</v>
      </c>
      <c r="D24" s="67" t="s">
        <v>147</v>
      </c>
      <c r="E24" s="68">
        <f>(9.3+E19+E20)-(E21+E22)</f>
        <v>11.64790012119326</v>
      </c>
    </row>
    <row r="25" spans="3:12" s="46" customFormat="1" ht="15.75" thickBot="1">
      <c r="C25" s="37"/>
      <c r="D25" s="69"/>
      <c r="E25" s="70"/>
      <c r="F25" s="248" t="s">
        <v>158</v>
      </c>
      <c r="G25" s="248"/>
      <c r="H25" s="71" t="s">
        <v>255</v>
      </c>
      <c r="I25" s="72"/>
      <c r="J25" s="73"/>
      <c r="K25" s="73"/>
      <c r="L25" s="74"/>
    </row>
    <row r="26" spans="3:12" s="46" customFormat="1" ht="18" thickBot="1">
      <c r="C26" s="75" t="s">
        <v>253</v>
      </c>
      <c r="D26" s="76" t="s">
        <v>259</v>
      </c>
      <c r="E26" s="77">
        <f>E11-E24</f>
        <v>-5.44790012119326</v>
      </c>
      <c r="H26" s="78" t="s">
        <v>257</v>
      </c>
      <c r="I26" s="79"/>
      <c r="L26" s="80"/>
    </row>
    <row r="27" spans="8:12" s="46" customFormat="1" ht="15.75" thickBot="1">
      <c r="H27" s="81" t="s">
        <v>256</v>
      </c>
      <c r="I27" s="82"/>
      <c r="J27" s="83"/>
      <c r="K27" s="83"/>
      <c r="L27" s="84"/>
    </row>
    <row r="28" ht="15">
      <c r="B28" s="43" t="s">
        <v>220</v>
      </c>
    </row>
    <row r="30" ht="16.5">
      <c r="B30" s="44" t="s">
        <v>254</v>
      </c>
    </row>
    <row r="32" spans="2:6" ht="15">
      <c r="B32" s="269" t="s">
        <v>159</v>
      </c>
      <c r="C32" s="269"/>
      <c r="D32" s="85"/>
      <c r="E32" s="85"/>
      <c r="F32" s="85"/>
    </row>
    <row r="33" spans="2:5" ht="16.5">
      <c r="B33" s="64" t="s">
        <v>177</v>
      </c>
      <c r="C33" s="86"/>
      <c r="D33" s="86"/>
      <c r="E33" s="87"/>
    </row>
    <row r="34" spans="2:5" ht="15">
      <c r="B34" s="266" t="s">
        <v>234</v>
      </c>
      <c r="C34" s="266"/>
      <c r="D34" s="266"/>
      <c r="E34" s="86"/>
    </row>
    <row r="35" spans="2:5" ht="15">
      <c r="B35" s="266" t="s">
        <v>61</v>
      </c>
      <c r="C35" s="266"/>
      <c r="D35" s="266"/>
      <c r="E35" s="85"/>
    </row>
    <row r="36" spans="2:5" ht="16.5">
      <c r="B36" s="266" t="s">
        <v>178</v>
      </c>
      <c r="C36" s="266"/>
      <c r="D36" s="266"/>
      <c r="E36" s="85"/>
    </row>
    <row r="37" spans="2:5" ht="16.5">
      <c r="B37" s="266" t="s">
        <v>179</v>
      </c>
      <c r="C37" s="266"/>
      <c r="D37" s="266"/>
      <c r="E37" s="85"/>
    </row>
    <row r="39" spans="2:8" ht="15" customHeight="1">
      <c r="B39" s="270" t="s">
        <v>128</v>
      </c>
      <c r="C39" s="271"/>
      <c r="D39" s="271"/>
      <c r="E39" s="271"/>
      <c r="F39" s="271"/>
      <c r="G39" s="271"/>
      <c r="H39" s="271"/>
    </row>
    <row r="40" spans="2:8" ht="15">
      <c r="B40" s="271"/>
      <c r="C40" s="271"/>
      <c r="D40" s="271"/>
      <c r="E40" s="271"/>
      <c r="F40" s="271"/>
      <c r="G40" s="271"/>
      <c r="H40" s="271"/>
    </row>
    <row r="41" spans="2:8" ht="15">
      <c r="B41" s="271"/>
      <c r="C41" s="271"/>
      <c r="D41" s="271"/>
      <c r="E41" s="271"/>
      <c r="F41" s="271"/>
      <c r="G41" s="271"/>
      <c r="H41" s="271"/>
    </row>
    <row r="42" spans="2:5" ht="15">
      <c r="B42" s="88"/>
      <c r="C42" s="88"/>
      <c r="D42" s="88"/>
      <c r="E42" s="88"/>
    </row>
  </sheetData>
  <sheetProtection password="CC41" sheet="1" objects="1" scenarios="1" selectLockedCells="1"/>
  <mergeCells count="13">
    <mergeCell ref="B36:D36"/>
    <mergeCell ref="B37:D37"/>
    <mergeCell ref="B32:C32"/>
    <mergeCell ref="B39:H41"/>
    <mergeCell ref="O2:T3"/>
    <mergeCell ref="F25:G25"/>
    <mergeCell ref="B34:D34"/>
    <mergeCell ref="B35:D35"/>
    <mergeCell ref="G7:H7"/>
    <mergeCell ref="G8:H8"/>
    <mergeCell ref="G9:H9"/>
    <mergeCell ref="O4:R4"/>
    <mergeCell ref="O5:Q5"/>
  </mergeCells>
  <printOptions/>
  <pageMargins left="0.75" right="0.75" top="1" bottom="1" header="0" footer="0"/>
  <pageSetup horizontalDpi="600" verticalDpi="600" orientation="portrait" paperSize="9"/>
  <ignoredErrors>
    <ignoredError sqref="E7" unlockedFormula="1"/>
  </ignoredErrors>
  <drawing r:id="rId3"/>
  <legacyDrawing r:id="rId2"/>
  <oleObjects>
    <oleObject progId="CorelPhotoPaint.Image.8" shapeId="5133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77"/>
  <sheetViews>
    <sheetView workbookViewId="0" topLeftCell="A12">
      <selection activeCell="E27" sqref="E27"/>
    </sheetView>
  </sheetViews>
  <sheetFormatPr defaultColWidth="11.421875" defaultRowHeight="12.75"/>
  <cols>
    <col min="1" max="1" width="2.00390625" style="8" customWidth="1"/>
    <col min="2" max="2" width="11.421875" style="8" customWidth="1"/>
    <col min="3" max="3" width="15.8515625" style="8" customWidth="1"/>
    <col min="4" max="4" width="14.421875" style="8" customWidth="1"/>
    <col min="5" max="5" width="11.140625" style="8" customWidth="1"/>
    <col min="6" max="6" width="8.421875" style="8" customWidth="1"/>
    <col min="7" max="10" width="11.421875" style="8" customWidth="1"/>
    <col min="11" max="11" width="13.28125" style="8" customWidth="1"/>
    <col min="12" max="16384" width="11.421875" style="8" customWidth="1"/>
  </cols>
  <sheetData>
    <row r="1" spans="1:20" ht="15">
      <c r="A1" s="44"/>
      <c r="B1" s="43" t="s">
        <v>95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5">
      <c r="A2" s="44"/>
      <c r="B2" s="272" t="s">
        <v>215</v>
      </c>
      <c r="C2" s="272"/>
      <c r="D2" s="272"/>
      <c r="E2" s="272"/>
      <c r="F2" s="272"/>
      <c r="G2" s="272"/>
      <c r="H2" s="272"/>
      <c r="I2" s="272"/>
      <c r="J2" s="44"/>
      <c r="K2" s="44"/>
      <c r="L2" s="44"/>
      <c r="M2" s="44"/>
      <c r="N2" s="44"/>
      <c r="O2" s="273" t="s">
        <v>261</v>
      </c>
      <c r="P2" s="273"/>
      <c r="Q2" s="273"/>
      <c r="R2" s="273"/>
      <c r="S2" s="273"/>
      <c r="T2" s="273"/>
    </row>
    <row r="3" spans="1:20" ht="15">
      <c r="A3" s="44"/>
      <c r="B3" s="272"/>
      <c r="C3" s="272"/>
      <c r="D3" s="272"/>
      <c r="E3" s="272"/>
      <c r="F3" s="272"/>
      <c r="G3" s="272"/>
      <c r="H3" s="272"/>
      <c r="I3" s="272"/>
      <c r="J3" s="44"/>
      <c r="K3" s="44"/>
      <c r="L3" s="44"/>
      <c r="M3" s="44"/>
      <c r="N3" s="44"/>
      <c r="O3" s="273"/>
      <c r="P3" s="273"/>
      <c r="Q3" s="273"/>
      <c r="R3" s="273"/>
      <c r="S3" s="273"/>
      <c r="T3" s="273"/>
    </row>
    <row r="4" spans="1:20" ht="16.5">
      <c r="A4" s="44"/>
      <c r="B4" s="272"/>
      <c r="C4" s="272"/>
      <c r="D4" s="272"/>
      <c r="E4" s="272"/>
      <c r="F4" s="272"/>
      <c r="G4" s="272"/>
      <c r="H4" s="272"/>
      <c r="I4" s="272"/>
      <c r="J4" s="44"/>
      <c r="K4" s="44"/>
      <c r="L4" s="44"/>
      <c r="M4" s="44"/>
      <c r="N4" s="44"/>
      <c r="O4" s="107" t="s">
        <v>23</v>
      </c>
      <c r="P4" s="44"/>
      <c r="Q4" s="44"/>
      <c r="R4" s="44"/>
      <c r="S4" s="44"/>
      <c r="T4" s="44"/>
    </row>
    <row r="5" spans="1:20" ht="16.5">
      <c r="A5" s="44"/>
      <c r="B5" s="45" t="s">
        <v>218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107" t="s">
        <v>207</v>
      </c>
      <c r="P5" s="44"/>
      <c r="Q5" s="44"/>
      <c r="R5" s="44"/>
      <c r="S5" s="44"/>
      <c r="T5" s="44"/>
    </row>
    <row r="6" spans="1:20" ht="17.25" thickBot="1">
      <c r="A6" s="44"/>
      <c r="B6" s="45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6.5">
      <c r="A7" s="44"/>
      <c r="B7" s="43"/>
      <c r="C7" s="101" t="s">
        <v>225</v>
      </c>
      <c r="D7" s="73"/>
      <c r="E7" s="73"/>
      <c r="F7" s="90">
        <f>'Lang,LSI,RSI,PSI, LaI; Alk, TH'!D3</f>
        <v>6.2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6.5">
      <c r="A8" s="44"/>
      <c r="B8" s="43"/>
      <c r="C8" s="102" t="s">
        <v>226</v>
      </c>
      <c r="D8" s="46"/>
      <c r="E8" s="10" t="s">
        <v>59</v>
      </c>
      <c r="F8" s="34">
        <f>'Lang,LSI,RSI,PSI, LaI; Alk, TH'!D4</f>
        <v>200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ht="16.5">
      <c r="A9" s="44"/>
      <c r="B9" s="43"/>
      <c r="C9" s="102" t="s">
        <v>227</v>
      </c>
      <c r="D9" s="46"/>
      <c r="E9" s="10" t="s">
        <v>129</v>
      </c>
      <c r="F9" s="34">
        <f>'Lang,LSI,RSI,PSI, LaI; Alk, TH'!D5</f>
        <v>0.5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0" ht="16.5">
      <c r="A10" s="44"/>
      <c r="B10" s="43"/>
      <c r="C10" s="102" t="s">
        <v>228</v>
      </c>
      <c r="D10" s="46"/>
      <c r="E10" s="10" t="s">
        <v>130</v>
      </c>
      <c r="F10" s="34">
        <f>'Lang,LSI,RSI,PSI, LaI; Alk, TH'!D6</f>
        <v>2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0" ht="16.5">
      <c r="A11" s="44"/>
      <c r="B11" s="43"/>
      <c r="C11" s="102" t="s">
        <v>229</v>
      </c>
      <c r="D11" s="46"/>
      <c r="E11" s="10" t="s">
        <v>131</v>
      </c>
      <c r="F11" s="34">
        <f>'Lang,LSI,RSI,PSI, LaI; Alk, TH'!D7</f>
        <v>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0" ht="18" customHeight="1">
      <c r="A12" s="44"/>
      <c r="B12" s="43"/>
      <c r="C12" s="249" t="s">
        <v>172</v>
      </c>
      <c r="D12" s="250"/>
      <c r="E12" s="104"/>
      <c r="F12" s="35">
        <f>'Lang,LSI,RSI,PSI, LaI; Alk, TH'!D8</f>
        <v>0.47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1:20" ht="15.75" thickBot="1">
      <c r="A13" s="44"/>
      <c r="B13" s="44"/>
      <c r="C13" s="105" t="s">
        <v>230</v>
      </c>
      <c r="D13" s="83"/>
      <c r="E13" s="11" t="s">
        <v>231</v>
      </c>
      <c r="F13" s="36">
        <f>'Lang,LSI,RSI,PSI, LaI; Alk, TH'!D9</f>
        <v>21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ht="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ht="15">
      <c r="A15" s="44"/>
      <c r="B15" s="43" t="s">
        <v>219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0" ht="15.75" thickBo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 ht="16.5">
      <c r="A17" s="44"/>
      <c r="B17" s="44"/>
      <c r="C17" s="47" t="s">
        <v>132</v>
      </c>
      <c r="D17" s="186" t="s">
        <v>153</v>
      </c>
      <c r="E17" s="187">
        <f>F9/40000</f>
        <v>1.25E-05</v>
      </c>
      <c r="F17" s="46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ht="16.5">
      <c r="A18" s="44"/>
      <c r="B18" s="44"/>
      <c r="C18" s="188" t="s">
        <v>133</v>
      </c>
      <c r="D18" s="171"/>
      <c r="E18" s="189">
        <f>-LOG10(E17)</f>
        <v>4.903089986991944</v>
      </c>
      <c r="F18" s="46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ht="16.5">
      <c r="A19" s="44"/>
      <c r="B19" s="44"/>
      <c r="C19" s="188" t="s">
        <v>137</v>
      </c>
      <c r="D19" s="171" t="s">
        <v>134</v>
      </c>
      <c r="E19" s="132">
        <f>(F10*(50.044/61.008)+2*F11*(50.044/60.008))</f>
        <v>1.640571728297928</v>
      </c>
      <c r="F19" s="46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ht="15">
      <c r="A20" s="44"/>
      <c r="B20" s="44"/>
      <c r="C20" s="188" t="s">
        <v>137</v>
      </c>
      <c r="D20" s="171" t="s">
        <v>154</v>
      </c>
      <c r="E20" s="190">
        <f>E19/50000</f>
        <v>3.281143456595856E-05</v>
      </c>
      <c r="F20" s="46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1:20" ht="15.75" thickBot="1">
      <c r="A21" s="44"/>
      <c r="B21" s="44"/>
      <c r="C21" s="81" t="s">
        <v>152</v>
      </c>
      <c r="D21" s="191"/>
      <c r="E21" s="192">
        <f>-LOG10(E20)</f>
        <v>4.483974781181774</v>
      </c>
      <c r="F21" s="46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1:20" ht="15.75" thickBot="1">
      <c r="A22" s="44"/>
      <c r="B22" s="44"/>
      <c r="C22" s="79"/>
      <c r="D22" s="46"/>
      <c r="E22" s="46"/>
      <c r="F22" s="46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1:20" ht="15">
      <c r="A23" s="44"/>
      <c r="B23" s="44"/>
      <c r="C23" s="57" t="s">
        <v>105</v>
      </c>
      <c r="D23" s="193" t="s">
        <v>238</v>
      </c>
      <c r="E23" s="187">
        <f>107.8871+0.03252849*(273.2+F13)-(5151.79/(273.2+F13))-38.92561*LOG10(273.2+F13)+(563713.9/((273.2+F13)*(273.2+F13)))</f>
        <v>10.365262107849407</v>
      </c>
      <c r="F23" s="46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0" ht="15">
      <c r="A24" s="44"/>
      <c r="B24" s="44"/>
      <c r="C24" s="60" t="s">
        <v>106</v>
      </c>
      <c r="D24" s="64" t="s">
        <v>238</v>
      </c>
      <c r="E24" s="190">
        <f>4471/(273.2+F13)+0.01706*(273.2+F13)-6.0875</f>
        <v>14.128696799456153</v>
      </c>
      <c r="F24" s="46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6.5">
      <c r="A25" s="44"/>
      <c r="B25" s="44"/>
      <c r="C25" s="60" t="s">
        <v>135</v>
      </c>
      <c r="D25" s="64" t="s">
        <v>238</v>
      </c>
      <c r="E25" s="190">
        <f>171.9065+0.077993*(273.2+F13)-2839.319/(273.2+F13)-71.595*LOG10(273.2+F13)</f>
        <v>8.458586431560747</v>
      </c>
      <c r="F25" s="46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5">
      <c r="A26" s="44"/>
      <c r="B26" s="44"/>
      <c r="C26" s="60" t="s">
        <v>107</v>
      </c>
      <c r="D26" s="64" t="s">
        <v>108</v>
      </c>
      <c r="E26" s="190">
        <f>1.6*10^-5*F8</f>
        <v>0.0032000000000000006</v>
      </c>
      <c r="F26" s="46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5">
      <c r="A27" s="44"/>
      <c r="B27" s="44"/>
      <c r="C27" s="60" t="s">
        <v>109</v>
      </c>
      <c r="D27" s="64" t="s">
        <v>238</v>
      </c>
      <c r="E27" s="190">
        <f>(60954/(273.2+F13+116))-68.937</f>
        <v>79.65880692345199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5">
      <c r="A28" s="44"/>
      <c r="B28" s="44"/>
      <c r="C28" s="60" t="s">
        <v>138</v>
      </c>
      <c r="D28" s="64" t="s">
        <v>110</v>
      </c>
      <c r="E28" s="190">
        <f>(1.82*10^6)*(E27*(273.2+F13))^-1.5</f>
        <v>0.5072904529137592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8" thickBot="1">
      <c r="A29" s="44"/>
      <c r="B29" s="44"/>
      <c r="C29" s="62" t="s">
        <v>136</v>
      </c>
      <c r="D29" s="194" t="s">
        <v>111</v>
      </c>
      <c r="E29" s="243">
        <f>(E28*(E26^0.5/(1+E26^0.5)))-(0.3*E26)</f>
        <v>0.026200264941409614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0" ht="15.75" thickBo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</row>
    <row r="31" spans="1:20" ht="33" thickBot="1">
      <c r="A31" s="44"/>
      <c r="B31" s="44"/>
      <c r="C31" s="66" t="s">
        <v>96</v>
      </c>
      <c r="D31" s="195" t="s">
        <v>30</v>
      </c>
      <c r="E31" s="196">
        <f>E23-E25+E18+E21+(5*E29)</f>
        <v>11.424741769169428</v>
      </c>
      <c r="F31" s="86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 ht="18" thickBot="1">
      <c r="A32" s="44"/>
      <c r="B32" s="44"/>
      <c r="C32" s="44"/>
      <c r="D32" s="44"/>
      <c r="E32" s="44"/>
      <c r="F32" s="44"/>
      <c r="G32" s="44"/>
      <c r="H32" s="71" t="s">
        <v>216</v>
      </c>
      <c r="I32" s="72"/>
      <c r="J32" s="197"/>
      <c r="K32" s="198"/>
      <c r="L32" s="46"/>
      <c r="M32" s="46"/>
      <c r="N32" s="46"/>
      <c r="O32" s="44"/>
      <c r="P32" s="44"/>
      <c r="Q32" s="44"/>
      <c r="R32" s="44"/>
      <c r="S32" s="44"/>
      <c r="T32" s="44"/>
    </row>
    <row r="33" spans="1:20" ht="18" thickBot="1">
      <c r="A33" s="44"/>
      <c r="B33" s="44"/>
      <c r="C33" s="75" t="s">
        <v>171</v>
      </c>
      <c r="D33" s="76" t="s">
        <v>210</v>
      </c>
      <c r="E33" s="122">
        <f>F7-E31</f>
        <v>-5.224741769169428</v>
      </c>
      <c r="F33" s="44"/>
      <c r="G33" s="44"/>
      <c r="H33" s="78" t="s">
        <v>217</v>
      </c>
      <c r="I33" s="79"/>
      <c r="J33" s="100"/>
      <c r="K33" s="199"/>
      <c r="L33" s="46"/>
      <c r="M33" s="46"/>
      <c r="N33" s="46"/>
      <c r="O33" s="44"/>
      <c r="P33" s="44"/>
      <c r="Q33" s="44"/>
      <c r="R33" s="44"/>
      <c r="S33" s="44"/>
      <c r="T33" s="44"/>
    </row>
    <row r="34" spans="1:20" ht="18" thickBot="1">
      <c r="A34" s="44"/>
      <c r="B34" s="46"/>
      <c r="C34" s="200"/>
      <c r="D34" s="200"/>
      <c r="E34" s="200"/>
      <c r="F34" s="200"/>
      <c r="G34" s="46"/>
      <c r="H34" s="81" t="s">
        <v>164</v>
      </c>
      <c r="I34" s="82"/>
      <c r="J34" s="201"/>
      <c r="K34" s="202"/>
      <c r="L34" s="46"/>
      <c r="M34" s="46"/>
      <c r="N34" s="46"/>
      <c r="O34" s="44"/>
      <c r="P34" s="44"/>
      <c r="Q34" s="44"/>
      <c r="R34" s="44"/>
      <c r="S34" s="44"/>
      <c r="T34" s="44"/>
    </row>
    <row r="35" spans="1:20" ht="15">
      <c r="A35" s="44"/>
      <c r="B35" s="79" t="s">
        <v>162</v>
      </c>
      <c r="C35" s="200"/>
      <c r="D35" s="200"/>
      <c r="E35" s="200"/>
      <c r="F35" s="200"/>
      <c r="G35" s="46"/>
      <c r="H35" s="46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 ht="15">
      <c r="A36" s="44"/>
      <c r="B36" s="46"/>
      <c r="C36" s="200"/>
      <c r="D36" s="200"/>
      <c r="E36" s="200"/>
      <c r="F36" s="200"/>
      <c r="G36" s="46"/>
      <c r="H36" s="46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 ht="15">
      <c r="A37" s="44"/>
      <c r="B37" s="274" t="s">
        <v>213</v>
      </c>
      <c r="C37" s="274"/>
      <c r="D37" s="274"/>
      <c r="E37" s="87"/>
      <c r="F37" s="200"/>
      <c r="G37" s="46"/>
      <c r="H37" s="46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1:20" ht="15">
      <c r="A38" s="44"/>
      <c r="B38" s="87"/>
      <c r="C38" s="87"/>
      <c r="D38" s="200"/>
      <c r="E38" s="200"/>
      <c r="F38" s="200"/>
      <c r="G38" s="46"/>
      <c r="H38" s="46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1:20" ht="15">
      <c r="A39" s="44"/>
      <c r="B39" s="274" t="s">
        <v>47</v>
      </c>
      <c r="C39" s="274"/>
      <c r="D39" s="87"/>
      <c r="E39" s="87"/>
      <c r="F39" s="200"/>
      <c r="G39" s="46"/>
      <c r="H39" s="46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</row>
    <row r="40" spans="1:20" ht="15">
      <c r="A40" s="44"/>
      <c r="B40" s="274" t="s">
        <v>211</v>
      </c>
      <c r="C40" s="274"/>
      <c r="D40" s="274"/>
      <c r="E40" s="87"/>
      <c r="F40" s="86"/>
      <c r="G40" s="46"/>
      <c r="H40" s="46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1:20" ht="15">
      <c r="A41" s="44"/>
      <c r="B41" s="87"/>
      <c r="C41" s="87"/>
      <c r="D41" s="87"/>
      <c r="E41" s="87"/>
      <c r="F41" s="87"/>
      <c r="G41" s="46"/>
      <c r="H41" s="46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1:20" ht="15" customHeight="1">
      <c r="A42" s="44"/>
      <c r="B42" s="275" t="s">
        <v>161</v>
      </c>
      <c r="C42" s="275"/>
      <c r="D42" s="87"/>
      <c r="E42" s="87"/>
      <c r="F42" s="87"/>
      <c r="G42" s="46"/>
      <c r="H42" s="46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1:20" ht="25.5" customHeight="1">
      <c r="A43" s="44"/>
      <c r="B43" s="277" t="s">
        <v>212</v>
      </c>
      <c r="C43" s="277"/>
      <c r="D43" s="277"/>
      <c r="E43" s="86"/>
      <c r="F43" s="86"/>
      <c r="G43" s="46"/>
      <c r="H43" s="46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1:20" ht="15">
      <c r="A44" s="44"/>
      <c r="B44" s="87"/>
      <c r="C44" s="87"/>
      <c r="D44" s="87"/>
      <c r="E44" s="87"/>
      <c r="F44" s="87"/>
      <c r="G44" s="46"/>
      <c r="H44" s="46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1:20" ht="15">
      <c r="A45" s="44"/>
      <c r="B45" s="87" t="s">
        <v>155</v>
      </c>
      <c r="C45" s="87"/>
      <c r="D45" s="87"/>
      <c r="E45" s="87"/>
      <c r="F45" s="87"/>
      <c r="G45" s="46"/>
      <c r="H45" s="46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 ht="15">
      <c r="A46" s="44"/>
      <c r="B46" s="87"/>
      <c r="C46" s="87"/>
      <c r="D46" s="87"/>
      <c r="E46" s="87"/>
      <c r="F46" s="87"/>
      <c r="G46" s="46"/>
      <c r="H46" s="46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</row>
    <row r="47" spans="1:20" ht="15">
      <c r="A47" s="44"/>
      <c r="B47" s="274" t="s">
        <v>31</v>
      </c>
      <c r="C47" s="274"/>
      <c r="D47" s="274"/>
      <c r="E47" s="87"/>
      <c r="F47" s="86"/>
      <c r="G47" s="46"/>
      <c r="H47" s="46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</row>
    <row r="48" spans="1:20" ht="15">
      <c r="A48" s="44"/>
      <c r="B48" s="274" t="s">
        <v>32</v>
      </c>
      <c r="C48" s="274"/>
      <c r="D48" s="274"/>
      <c r="E48" s="87"/>
      <c r="F48" s="86"/>
      <c r="G48" s="46"/>
      <c r="H48" s="46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</row>
    <row r="49" spans="1:20" ht="15.75" customHeight="1">
      <c r="A49" s="44"/>
      <c r="B49" s="274" t="s">
        <v>48</v>
      </c>
      <c r="C49" s="274"/>
      <c r="D49" s="274"/>
      <c r="E49" s="87"/>
      <c r="F49" s="86"/>
      <c r="G49" s="46"/>
      <c r="H49" s="46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</row>
    <row r="50" spans="1:20" ht="18" customHeight="1">
      <c r="A50" s="44"/>
      <c r="B50" s="274" t="s">
        <v>173</v>
      </c>
      <c r="C50" s="274"/>
      <c r="D50" s="274"/>
      <c r="E50" s="274"/>
      <c r="F50" s="86"/>
      <c r="G50" s="46"/>
      <c r="H50" s="46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1:20" ht="15">
      <c r="A51" s="44"/>
      <c r="B51" s="274" t="s">
        <v>33</v>
      </c>
      <c r="C51" s="274"/>
      <c r="D51" s="274"/>
      <c r="E51" s="87"/>
      <c r="F51" s="86"/>
      <c r="G51" s="46"/>
      <c r="H51" s="46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  <row r="52" spans="1:20" ht="15">
      <c r="A52" s="44"/>
      <c r="B52" s="87"/>
      <c r="C52" s="87"/>
      <c r="D52" s="87"/>
      <c r="E52" s="87"/>
      <c r="F52" s="200"/>
      <c r="G52" s="46"/>
      <c r="H52" s="46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</row>
    <row r="53" spans="1:20" ht="15">
      <c r="A53" s="44"/>
      <c r="B53" s="46" t="s">
        <v>93</v>
      </c>
      <c r="C53" s="200"/>
      <c r="D53" s="200"/>
      <c r="E53" s="200"/>
      <c r="F53" s="200"/>
      <c r="G53" s="46"/>
      <c r="H53" s="46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</row>
    <row r="54" spans="1:20" ht="15">
      <c r="A54" s="44"/>
      <c r="B54" s="46"/>
      <c r="C54" s="200"/>
      <c r="D54" s="200"/>
      <c r="E54" s="200"/>
      <c r="F54" s="200"/>
      <c r="G54" s="46"/>
      <c r="H54" s="46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</row>
    <row r="55" spans="1:20" ht="15">
      <c r="A55" s="44"/>
      <c r="B55" s="274" t="s">
        <v>168</v>
      </c>
      <c r="C55" s="274"/>
      <c r="D55" s="274"/>
      <c r="E55" s="274"/>
      <c r="F55" s="274"/>
      <c r="G55" s="46"/>
      <c r="H55" s="46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</row>
    <row r="56" spans="1:20" ht="15">
      <c r="A56" s="44"/>
      <c r="B56" s="87"/>
      <c r="C56" s="87"/>
      <c r="D56" s="87"/>
      <c r="E56" s="87"/>
      <c r="F56" s="87"/>
      <c r="G56" s="46"/>
      <c r="H56" s="46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</row>
    <row r="57" spans="1:20" ht="15">
      <c r="A57" s="44"/>
      <c r="B57" s="274" t="s">
        <v>37</v>
      </c>
      <c r="C57" s="274"/>
      <c r="D57" s="274"/>
      <c r="E57" s="274"/>
      <c r="F57" s="274"/>
      <c r="G57" s="46"/>
      <c r="H57" s="46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</row>
    <row r="58" spans="1:20" ht="15">
      <c r="A58" s="44"/>
      <c r="B58" s="274" t="s">
        <v>38</v>
      </c>
      <c r="C58" s="274"/>
      <c r="D58" s="274"/>
      <c r="E58" s="274"/>
      <c r="F58" s="274"/>
      <c r="G58" s="46"/>
      <c r="H58" s="46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</row>
    <row r="59" spans="1:20" ht="15">
      <c r="A59" s="44"/>
      <c r="B59" s="46"/>
      <c r="C59" s="200"/>
      <c r="D59" s="200"/>
      <c r="E59" s="200"/>
      <c r="F59" s="200"/>
      <c r="G59" s="46"/>
      <c r="H59" s="46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</row>
    <row r="60" spans="1:20" ht="15">
      <c r="A60" s="44"/>
      <c r="B60" s="87" t="s">
        <v>94</v>
      </c>
      <c r="C60" s="87"/>
      <c r="D60" s="87"/>
      <c r="E60" s="87"/>
      <c r="F60" s="200"/>
      <c r="G60" s="46"/>
      <c r="H60" s="46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</row>
    <row r="61" spans="1:20" ht="15">
      <c r="A61" s="44"/>
      <c r="B61" s="87"/>
      <c r="C61" s="87"/>
      <c r="D61" s="87"/>
      <c r="E61" s="87"/>
      <c r="F61" s="87"/>
      <c r="G61" s="46"/>
      <c r="H61" s="46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</row>
    <row r="62" spans="1:20" ht="16.5">
      <c r="A62" s="44"/>
      <c r="B62" s="46" t="s">
        <v>0</v>
      </c>
      <c r="C62" s="87"/>
      <c r="D62" s="87"/>
      <c r="E62" s="87"/>
      <c r="F62" s="87"/>
      <c r="G62" s="46"/>
      <c r="H62" s="46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</row>
    <row r="63" spans="1:20" ht="16.5">
      <c r="A63" s="44"/>
      <c r="B63" s="46" t="s">
        <v>39</v>
      </c>
      <c r="C63" s="46"/>
      <c r="D63" s="172"/>
      <c r="E63" s="172"/>
      <c r="F63" s="171"/>
      <c r="G63" s="46"/>
      <c r="H63" s="46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1:20" ht="15">
      <c r="A64" s="44"/>
      <c r="B64" s="46" t="s">
        <v>100</v>
      </c>
      <c r="C64" s="46"/>
      <c r="D64" s="172"/>
      <c r="E64" s="172"/>
      <c r="F64" s="171"/>
      <c r="G64" s="46"/>
      <c r="H64" s="46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</row>
    <row r="65" spans="1:20" ht="15">
      <c r="A65" s="44"/>
      <c r="B65" s="46" t="s">
        <v>101</v>
      </c>
      <c r="C65" s="46"/>
      <c r="D65" s="172"/>
      <c r="E65" s="172"/>
      <c r="F65" s="171"/>
      <c r="G65" s="46"/>
      <c r="H65" s="46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</row>
    <row r="66" spans="1:20" ht="15">
      <c r="A66" s="44"/>
      <c r="B66" s="46" t="s">
        <v>155</v>
      </c>
      <c r="C66" s="172"/>
      <c r="D66" s="172"/>
      <c r="E66" s="172"/>
      <c r="F66" s="171"/>
      <c r="G66" s="46"/>
      <c r="H66" s="46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</row>
    <row r="67" spans="1:20" ht="15">
      <c r="A67" s="44"/>
      <c r="B67" s="46"/>
      <c r="C67" s="172"/>
      <c r="D67" s="172"/>
      <c r="E67" s="172"/>
      <c r="F67" s="171"/>
      <c r="G67" s="46"/>
      <c r="H67" s="46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</row>
    <row r="68" spans="1:20" ht="15">
      <c r="A68" s="44"/>
      <c r="B68" s="46" t="s">
        <v>102</v>
      </c>
      <c r="C68" s="172"/>
      <c r="D68" s="172"/>
      <c r="E68" s="172"/>
      <c r="F68" s="171"/>
      <c r="G68" s="46"/>
      <c r="H68" s="46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69" spans="1:20" ht="15">
      <c r="A69" s="44"/>
      <c r="B69" s="46" t="s">
        <v>49</v>
      </c>
      <c r="C69" s="172"/>
      <c r="D69" s="172"/>
      <c r="E69" s="172"/>
      <c r="F69" s="171"/>
      <c r="G69" s="46"/>
      <c r="H69" s="46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</row>
    <row r="70" spans="1:20" ht="15">
      <c r="A70" s="44"/>
      <c r="B70" s="46" t="s">
        <v>103</v>
      </c>
      <c r="C70" s="172"/>
      <c r="D70" s="172"/>
      <c r="E70" s="172"/>
      <c r="F70" s="171"/>
      <c r="G70" s="46"/>
      <c r="H70" s="46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</row>
    <row r="71" spans="1:20" ht="15">
      <c r="A71" s="44"/>
      <c r="B71" s="46" t="s">
        <v>104</v>
      </c>
      <c r="C71" s="172"/>
      <c r="D71" s="172"/>
      <c r="E71" s="172"/>
      <c r="F71" s="171"/>
      <c r="G71" s="46"/>
      <c r="H71" s="46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spans="1:20" ht="15">
      <c r="A72" s="44"/>
      <c r="B72" s="44"/>
      <c r="C72" s="44"/>
      <c r="D72" s="44"/>
      <c r="E72" s="44"/>
      <c r="F72" s="44"/>
      <c r="G72" s="46"/>
      <c r="H72" s="46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</row>
    <row r="73" spans="1:20" ht="12" customHeight="1">
      <c r="A73" s="44"/>
      <c r="B73" s="275"/>
      <c r="C73" s="275"/>
      <c r="D73" s="275"/>
      <c r="E73" s="275"/>
      <c r="F73" s="275"/>
      <c r="G73" s="275"/>
      <c r="H73" s="275"/>
      <c r="I73" s="275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</row>
    <row r="74" spans="1:20" ht="12" customHeight="1">
      <c r="A74" s="44"/>
      <c r="B74" s="276" t="s">
        <v>204</v>
      </c>
      <c r="C74" s="261"/>
      <c r="D74" s="261"/>
      <c r="E74" s="46"/>
      <c r="F74" s="46"/>
      <c r="G74" s="46"/>
      <c r="H74" s="46"/>
      <c r="I74" s="46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A75" s="44"/>
      <c r="B75" s="261"/>
      <c r="C75" s="261"/>
      <c r="D75" s="261"/>
      <c r="E75" s="46"/>
      <c r="F75" s="46"/>
      <c r="G75" s="46"/>
      <c r="H75" s="46"/>
      <c r="I75" s="46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A76" s="44"/>
      <c r="B76" s="44" t="s">
        <v>205</v>
      </c>
      <c r="C76" s="44"/>
      <c r="D76" s="44"/>
      <c r="E76" s="44"/>
      <c r="F76" s="44"/>
      <c r="G76" s="46"/>
      <c r="H76" s="46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A77" s="44"/>
      <c r="B77" s="44" t="s">
        <v>206</v>
      </c>
      <c r="C77" s="44"/>
      <c r="D77" s="44"/>
      <c r="E77" s="44"/>
      <c r="F77" s="44"/>
      <c r="G77" s="46"/>
      <c r="H77" s="46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</sheetData>
  <sheetProtection password="CC41" sheet="1" objects="1" scenarios="1" selectLockedCells="1"/>
  <mergeCells count="18">
    <mergeCell ref="B74:D75"/>
    <mergeCell ref="B73:I73"/>
    <mergeCell ref="B37:D37"/>
    <mergeCell ref="B39:C39"/>
    <mergeCell ref="B40:D40"/>
    <mergeCell ref="B57:F57"/>
    <mergeCell ref="B58:F58"/>
    <mergeCell ref="B43:D43"/>
    <mergeCell ref="B49:D49"/>
    <mergeCell ref="B2:I4"/>
    <mergeCell ref="O2:T3"/>
    <mergeCell ref="C12:D12"/>
    <mergeCell ref="B55:F55"/>
    <mergeCell ref="B50:E50"/>
    <mergeCell ref="B47:D47"/>
    <mergeCell ref="B48:D48"/>
    <mergeCell ref="B51:D51"/>
    <mergeCell ref="B42:C42"/>
  </mergeCells>
  <printOptions/>
  <pageMargins left="0.75" right="0.75" top="1" bottom="1" header="0" footer="0"/>
  <pageSetup orientation="portrait" paperSize="9"/>
  <drawing r:id="rId3"/>
  <legacyDrawing r:id="rId2"/>
  <oleObjects>
    <oleObject progId="CorelPhotoPaint.Image.8" shapeId="2953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T50"/>
  <sheetViews>
    <sheetView workbookViewId="0" topLeftCell="A1">
      <selection activeCell="O2" sqref="O2:T3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5.8515625" style="2" customWidth="1"/>
    <col min="4" max="4" width="15.421875" style="2" customWidth="1"/>
    <col min="5" max="5" width="13.00390625" style="2" customWidth="1"/>
    <col min="6" max="16384" width="11.421875" style="2" customWidth="1"/>
  </cols>
  <sheetData>
    <row r="1" spans="2:20" s="8" customFormat="1" ht="15">
      <c r="B1" s="43" t="s">
        <v>160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2:20" s="8" customFormat="1" ht="15" customHeight="1">
      <c r="B2" s="278" t="s">
        <v>50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44"/>
      <c r="N2" s="44"/>
      <c r="O2" s="265" t="s">
        <v>261</v>
      </c>
      <c r="P2" s="265"/>
      <c r="Q2" s="265"/>
      <c r="R2" s="265"/>
      <c r="S2" s="265"/>
      <c r="T2" s="265"/>
    </row>
    <row r="3" spans="2:20" s="8" customFormat="1" ht="15"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44"/>
      <c r="N3" s="44"/>
      <c r="O3" s="265"/>
      <c r="P3" s="265"/>
      <c r="Q3" s="265"/>
      <c r="R3" s="265"/>
      <c r="S3" s="265"/>
      <c r="T3" s="265"/>
    </row>
    <row r="4" spans="2:18" s="8" customFormat="1" ht="16.5">
      <c r="B4" s="45" t="s">
        <v>91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268" t="s">
        <v>23</v>
      </c>
      <c r="P4" s="268"/>
      <c r="Q4" s="268"/>
      <c r="R4" s="268"/>
    </row>
    <row r="5" spans="2:17" s="8" customFormat="1" ht="17.25" thickBot="1">
      <c r="B5" s="45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268" t="s">
        <v>207</v>
      </c>
      <c r="P5" s="268"/>
      <c r="Q5" s="268"/>
    </row>
    <row r="6" spans="2:20" s="8" customFormat="1" ht="15">
      <c r="B6" s="44"/>
      <c r="C6" s="57" t="s">
        <v>225</v>
      </c>
      <c r="D6" s="193"/>
      <c r="E6" s="193"/>
      <c r="F6" s="90">
        <f>'Lang,LSI,RSI,PSI, LaI; Alk, TH'!D3</f>
        <v>6.2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2:20" s="8" customFormat="1" ht="15">
      <c r="B7" s="44"/>
      <c r="C7" s="60" t="s">
        <v>226</v>
      </c>
      <c r="D7" s="64"/>
      <c r="E7" s="37" t="s">
        <v>59</v>
      </c>
      <c r="F7" s="34">
        <f>'Lang,LSI,RSI,PSI, LaI; Alk, TH'!D4</f>
        <v>200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2:20" s="8" customFormat="1" ht="16.5">
      <c r="B8" s="44"/>
      <c r="C8" s="60" t="s">
        <v>227</v>
      </c>
      <c r="D8" s="64"/>
      <c r="E8" s="37" t="s">
        <v>129</v>
      </c>
      <c r="F8" s="34">
        <f>'Lang,LSI,RSI,PSI, LaI; Alk, TH'!D5</f>
        <v>0.5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2:20" s="8" customFormat="1" ht="15">
      <c r="B9" s="44"/>
      <c r="C9" s="60" t="s">
        <v>227</v>
      </c>
      <c r="D9" s="203"/>
      <c r="E9" s="64" t="s">
        <v>34</v>
      </c>
      <c r="F9" s="38">
        <f>'Lang,LSI,RSI,PSI, LaI; Alk, TH'!D5*10/4.01</f>
        <v>1.2468827930174564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2:20" s="8" customFormat="1" ht="16.5">
      <c r="B10" s="44"/>
      <c r="C10" s="60" t="s">
        <v>228</v>
      </c>
      <c r="D10" s="64"/>
      <c r="E10" s="37" t="s">
        <v>130</v>
      </c>
      <c r="F10" s="34">
        <f>'Lang,LSI,RSI,PSI, LaI; Alk, TH'!D6</f>
        <v>2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2:20" s="8" customFormat="1" ht="16.5">
      <c r="B11" s="44"/>
      <c r="C11" s="60" t="s">
        <v>229</v>
      </c>
      <c r="D11" s="64"/>
      <c r="E11" s="37" t="s">
        <v>51</v>
      </c>
      <c r="F11" s="34">
        <f>'Lang,LSI,RSI,PSI, LaI; Alk, TH'!D7</f>
        <v>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2:20" s="8" customFormat="1" ht="13.5" customHeight="1">
      <c r="B12" s="44"/>
      <c r="C12" s="249" t="s">
        <v>172</v>
      </c>
      <c r="D12" s="250"/>
      <c r="E12" s="204"/>
      <c r="F12" s="34">
        <f>'Lang,LSI,RSI,PSI, LaI; Alk, TH'!D8</f>
        <v>0.47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2:20" s="8" customFormat="1" ht="13.5" customHeight="1">
      <c r="B13" s="44"/>
      <c r="C13" s="103" t="s">
        <v>209</v>
      </c>
      <c r="D13" s="104"/>
      <c r="E13" s="104"/>
      <c r="F13" s="39">
        <f>'Lang,LSI,RSI,PSI, LaI; Alk, TH'!I17</f>
        <v>94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2:20" s="8" customFormat="1" ht="15.75" thickBot="1">
      <c r="B14" s="44"/>
      <c r="C14" s="62" t="s">
        <v>230</v>
      </c>
      <c r="D14" s="194"/>
      <c r="E14" s="40" t="s">
        <v>231</v>
      </c>
      <c r="F14" s="36">
        <f>'Lang,LSI,RSI,PSI, LaI; Alk, TH'!D9</f>
        <v>21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2:20" s="8" customFormat="1" ht="1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2:20" s="8" customFormat="1" ht="15">
      <c r="B16" s="43" t="s">
        <v>219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2:20" s="8" customFormat="1" ht="15.75" thickBot="1">
      <c r="B17" s="44"/>
      <c r="C17" s="44"/>
      <c r="D17" s="205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2:20" s="8" customFormat="1" ht="15">
      <c r="B18" s="44"/>
      <c r="C18" s="57" t="s">
        <v>138</v>
      </c>
      <c r="D18" s="206" t="s">
        <v>237</v>
      </c>
      <c r="E18" s="120">
        <f>(LOG10(F13)-1)/10</f>
        <v>0.09731278535996986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2:20" s="8" customFormat="1" ht="15">
      <c r="B19" s="44"/>
      <c r="C19" s="60" t="s">
        <v>139</v>
      </c>
      <c r="D19" s="69" t="s">
        <v>238</v>
      </c>
      <c r="E19" s="132">
        <f>-13.12*LOG10(F14+273.2)+34.55</f>
        <v>2.1614081907033693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2:20" s="8" customFormat="1" ht="15">
      <c r="B20" s="44"/>
      <c r="C20" s="60" t="s">
        <v>140</v>
      </c>
      <c r="D20" s="69" t="s">
        <v>145</v>
      </c>
      <c r="E20" s="132">
        <f>LOG10(F9)-0.4</f>
        <v>-0.3041743682841635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2:20" s="8" customFormat="1" ht="15.75" thickBot="1">
      <c r="B21" s="44"/>
      <c r="C21" s="62" t="s">
        <v>141</v>
      </c>
      <c r="D21" s="207" t="s">
        <v>87</v>
      </c>
      <c r="E21" s="137">
        <f>LOG10('Lang,LSI,RSI,PSI, LaI; Alk, TH'!I19)</f>
        <v>0.21499522315424413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2:20" s="8" customFormat="1" ht="15.75" thickBot="1">
      <c r="B22" s="44"/>
      <c r="C22" s="79"/>
      <c r="D22" s="46"/>
      <c r="E22" s="46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2:20" s="8" customFormat="1" ht="18" thickBot="1">
      <c r="B23" s="44"/>
      <c r="C23" s="66" t="s">
        <v>11</v>
      </c>
      <c r="D23" s="67" t="s">
        <v>147</v>
      </c>
      <c r="E23" s="208">
        <f>'Lang,LSI,RSI,PSI, LaI; Alk, TH'!I26</f>
        <v>11.64790012119326</v>
      </c>
      <c r="F23" s="44"/>
      <c r="G23" s="44"/>
      <c r="H23" s="71" t="s">
        <v>21</v>
      </c>
      <c r="I23" s="209"/>
      <c r="J23" s="209"/>
      <c r="K23" s="210"/>
      <c r="L23" s="79"/>
      <c r="M23" s="44"/>
      <c r="N23" s="44"/>
      <c r="O23" s="44"/>
      <c r="P23" s="44"/>
      <c r="Q23" s="44"/>
      <c r="R23" s="44"/>
      <c r="S23" s="44"/>
      <c r="T23" s="44"/>
    </row>
    <row r="24" spans="2:20" s="8" customFormat="1" ht="15.75" thickBot="1">
      <c r="B24" s="44"/>
      <c r="C24" s="44"/>
      <c r="D24" s="44"/>
      <c r="E24" s="44"/>
      <c r="F24" s="44"/>
      <c r="G24" s="44"/>
      <c r="H24" s="78" t="s">
        <v>18</v>
      </c>
      <c r="I24" s="172"/>
      <c r="J24" s="172"/>
      <c r="K24" s="211"/>
      <c r="L24" s="79"/>
      <c r="M24" s="44"/>
      <c r="N24" s="44"/>
      <c r="O24" s="44"/>
      <c r="P24" s="44"/>
      <c r="Q24" s="44"/>
      <c r="R24" s="44"/>
      <c r="S24" s="44"/>
      <c r="T24" s="44"/>
    </row>
    <row r="25" spans="2:20" s="8" customFormat="1" ht="18" thickBot="1">
      <c r="B25" s="44"/>
      <c r="C25" s="75" t="s">
        <v>113</v>
      </c>
      <c r="D25" s="76" t="s">
        <v>10</v>
      </c>
      <c r="E25" s="122">
        <f>(2*E23)-F6</f>
        <v>17.09580024238652</v>
      </c>
      <c r="F25" s="44"/>
      <c r="G25" s="44"/>
      <c r="H25" s="78" t="s">
        <v>17</v>
      </c>
      <c r="I25" s="172"/>
      <c r="J25" s="172"/>
      <c r="K25" s="211"/>
      <c r="L25" s="79"/>
      <c r="M25" s="44"/>
      <c r="N25" s="44"/>
      <c r="O25" s="44"/>
      <c r="P25" s="44"/>
      <c r="Q25" s="44"/>
      <c r="R25" s="44"/>
      <c r="S25" s="44"/>
      <c r="T25" s="44"/>
    </row>
    <row r="26" spans="2:20" s="8" customFormat="1" ht="15">
      <c r="B26" s="44"/>
      <c r="C26" s="44"/>
      <c r="D26" s="44"/>
      <c r="E26" s="44"/>
      <c r="F26" s="44"/>
      <c r="G26" s="44"/>
      <c r="H26" s="78" t="s">
        <v>68</v>
      </c>
      <c r="I26" s="172"/>
      <c r="J26" s="172"/>
      <c r="K26" s="211"/>
      <c r="L26" s="79"/>
      <c r="M26" s="44"/>
      <c r="N26" s="44"/>
      <c r="O26" s="44"/>
      <c r="P26" s="44"/>
      <c r="Q26" s="44"/>
      <c r="R26" s="44"/>
      <c r="S26" s="44"/>
      <c r="T26" s="44"/>
    </row>
    <row r="27" spans="2:20" s="8" customFormat="1" ht="15">
      <c r="B27" s="44"/>
      <c r="C27" s="44"/>
      <c r="D27" s="44"/>
      <c r="E27" s="44"/>
      <c r="F27" s="44"/>
      <c r="G27" s="44"/>
      <c r="H27" s="78" t="s">
        <v>1</v>
      </c>
      <c r="I27" s="172"/>
      <c r="J27" s="172"/>
      <c r="K27" s="211"/>
      <c r="L27" s="79"/>
      <c r="M27" s="44"/>
      <c r="N27" s="44"/>
      <c r="O27" s="44"/>
      <c r="P27" s="44"/>
      <c r="Q27" s="44"/>
      <c r="R27" s="44"/>
      <c r="S27" s="44"/>
      <c r="T27" s="44"/>
    </row>
    <row r="28" spans="2:20" s="8" customFormat="1" ht="15.75" thickBot="1">
      <c r="B28" s="43" t="s">
        <v>233</v>
      </c>
      <c r="C28" s="44"/>
      <c r="D28" s="44"/>
      <c r="E28" s="44"/>
      <c r="F28" s="44"/>
      <c r="G28" s="44"/>
      <c r="H28" s="212" t="s">
        <v>66</v>
      </c>
      <c r="I28" s="213"/>
      <c r="J28" s="213"/>
      <c r="K28" s="214"/>
      <c r="L28" s="79"/>
      <c r="M28" s="44"/>
      <c r="N28" s="44"/>
      <c r="O28" s="44"/>
      <c r="P28" s="44"/>
      <c r="Q28" s="44"/>
      <c r="R28" s="44"/>
      <c r="S28" s="44"/>
      <c r="T28" s="44"/>
    </row>
    <row r="29" spans="2:20" s="8" customFormat="1" ht="15" customHeight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2:20" s="8" customFormat="1" ht="16.5">
      <c r="B30" s="46" t="s">
        <v>52</v>
      </c>
      <c r="C30" s="200"/>
      <c r="D30" s="200"/>
      <c r="E30" s="200"/>
      <c r="F30" s="200"/>
      <c r="G30" s="200"/>
      <c r="H30" s="46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</row>
    <row r="31" spans="2:20" s="8" customFormat="1" ht="15">
      <c r="B31" s="46"/>
      <c r="C31" s="200"/>
      <c r="D31" s="200"/>
      <c r="E31" s="200"/>
      <c r="F31" s="200"/>
      <c r="G31" s="200"/>
      <c r="H31" s="46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2:20" s="8" customFormat="1" ht="15">
      <c r="B32" s="46" t="s">
        <v>156</v>
      </c>
      <c r="C32" s="200"/>
      <c r="D32" s="200"/>
      <c r="E32" s="200"/>
      <c r="F32" s="200"/>
      <c r="G32" s="200"/>
      <c r="H32" s="46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2:20" s="8" customFormat="1" ht="15">
      <c r="B33" s="274" t="s">
        <v>53</v>
      </c>
      <c r="C33" s="274"/>
      <c r="D33" s="274"/>
      <c r="E33" s="274"/>
      <c r="F33" s="274"/>
      <c r="G33" s="274"/>
      <c r="H33" s="46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2:20" s="8" customFormat="1" ht="15">
      <c r="B34" s="274"/>
      <c r="C34" s="274"/>
      <c r="D34" s="274"/>
      <c r="E34" s="274"/>
      <c r="F34" s="274"/>
      <c r="G34" s="274"/>
      <c r="H34" s="46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2:20" s="8" customFormat="1" ht="15">
      <c r="B35" s="87"/>
      <c r="C35" s="87"/>
      <c r="D35" s="87"/>
      <c r="E35" s="87"/>
      <c r="F35" s="87"/>
      <c r="G35" s="87"/>
      <c r="H35" s="46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2:20" s="8" customFormat="1" ht="13.5" customHeight="1">
      <c r="B36" s="44"/>
      <c r="C36" s="269" t="s">
        <v>159</v>
      </c>
      <c r="D36" s="269"/>
      <c r="E36" s="85"/>
      <c r="F36" s="44"/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2:20" s="8" customFormat="1" ht="13.5" customHeight="1">
      <c r="B37" s="44"/>
      <c r="C37" s="64" t="s">
        <v>177</v>
      </c>
      <c r="D37" s="86"/>
      <c r="E37" s="86"/>
      <c r="F37" s="44"/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2:20" s="8" customFormat="1" ht="15">
      <c r="B38" s="44"/>
      <c r="C38" s="266" t="s">
        <v>234</v>
      </c>
      <c r="D38" s="266"/>
      <c r="E38" s="266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2:20" s="8" customFormat="1" ht="15">
      <c r="B39" s="44"/>
      <c r="C39" s="266" t="s">
        <v>235</v>
      </c>
      <c r="D39" s="266"/>
      <c r="E39" s="266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</row>
    <row r="40" spans="2:20" s="8" customFormat="1" ht="16.5">
      <c r="B40" s="44"/>
      <c r="C40" s="266" t="s">
        <v>178</v>
      </c>
      <c r="D40" s="266"/>
      <c r="E40" s="266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2:20" s="8" customFormat="1" ht="13.5" customHeight="1">
      <c r="B41" s="44"/>
      <c r="C41" s="266" t="s">
        <v>179</v>
      </c>
      <c r="D41" s="266"/>
      <c r="E41" s="266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2:20" ht="13.5" customHeight="1">
      <c r="B42" s="44"/>
      <c r="C42" s="64"/>
      <c r="D42" s="64"/>
      <c r="E42" s="64"/>
      <c r="F42" s="44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</row>
    <row r="43" spans="2:20" ht="14.25" customHeight="1">
      <c r="B43" s="276" t="s">
        <v>99</v>
      </c>
      <c r="C43" s="261"/>
      <c r="D43" s="261"/>
      <c r="E43" s="261"/>
      <c r="F43" s="261"/>
      <c r="G43" s="261"/>
      <c r="H43" s="261"/>
      <c r="I43" s="261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</row>
    <row r="44" spans="2:20" ht="13.5">
      <c r="B44" s="261"/>
      <c r="C44" s="261"/>
      <c r="D44" s="261"/>
      <c r="E44" s="261"/>
      <c r="F44" s="261"/>
      <c r="G44" s="261"/>
      <c r="H44" s="261"/>
      <c r="I44" s="261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</row>
    <row r="45" spans="2:20" ht="13.5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</row>
    <row r="46" spans="2:20" ht="13.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</row>
    <row r="47" spans="2:20" ht="13.5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</row>
    <row r="48" spans="2:20" ht="13.5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</row>
    <row r="49" spans="2:20" ht="13.5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</row>
    <row r="50" spans="2:20" ht="13.5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</row>
  </sheetData>
  <sheetProtection password="CC41" sheet="1" objects="1" scenarios="1" selectLockedCells="1"/>
  <mergeCells count="12">
    <mergeCell ref="C36:D36"/>
    <mergeCell ref="B43:I44"/>
    <mergeCell ref="C38:E38"/>
    <mergeCell ref="C39:E39"/>
    <mergeCell ref="C40:E40"/>
    <mergeCell ref="C41:E41"/>
    <mergeCell ref="B2:L3"/>
    <mergeCell ref="O2:T3"/>
    <mergeCell ref="B33:G34"/>
    <mergeCell ref="C12:D12"/>
    <mergeCell ref="O4:R4"/>
    <mergeCell ref="O5:Q5"/>
  </mergeCells>
  <printOptions/>
  <pageMargins left="0.75" right="0.75" top="1" bottom="1" header="0" footer="0"/>
  <pageSetup orientation="portrait" paperSize="9"/>
  <drawing r:id="rId3"/>
  <legacyDrawing r:id="rId2"/>
  <oleObjects>
    <oleObject progId="CorelPhotoPaint.Image.8" shapeId="3720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4"/>
  <sheetViews>
    <sheetView workbookViewId="0" topLeftCell="A1">
      <selection activeCell="O4" sqref="O4:R4"/>
    </sheetView>
  </sheetViews>
  <sheetFormatPr defaultColWidth="11.421875" defaultRowHeight="12.75"/>
  <cols>
    <col min="1" max="1" width="1.8515625" style="4" customWidth="1"/>
    <col min="2" max="2" width="11.421875" style="4" customWidth="1"/>
    <col min="3" max="3" width="18.421875" style="4" customWidth="1"/>
    <col min="4" max="4" width="21.140625" style="4" customWidth="1"/>
    <col min="5" max="5" width="13.140625" style="4" customWidth="1"/>
    <col min="6" max="9" width="11.421875" style="4" customWidth="1"/>
    <col min="10" max="10" width="13.421875" style="4" customWidth="1"/>
    <col min="11" max="11" width="13.140625" style="4" hidden="1" customWidth="1"/>
    <col min="12" max="16384" width="11.421875" style="4" customWidth="1"/>
  </cols>
  <sheetData>
    <row r="1" spans="1:20" s="8" customFormat="1" ht="15">
      <c r="A1" s="44"/>
      <c r="B1" s="43" t="s">
        <v>163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8" customFormat="1" ht="15" customHeight="1">
      <c r="A2" s="44"/>
      <c r="B2" s="280" t="s">
        <v>170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16"/>
      <c r="N2" s="216"/>
      <c r="O2" s="265" t="s">
        <v>261</v>
      </c>
      <c r="P2" s="265"/>
      <c r="Q2" s="265"/>
      <c r="R2" s="265"/>
      <c r="S2" s="265"/>
      <c r="T2" s="265"/>
    </row>
    <row r="3" spans="1:20" s="8" customFormat="1" ht="15" customHeight="1">
      <c r="A3" s="44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16"/>
      <c r="N3" s="216"/>
      <c r="O3" s="265"/>
      <c r="P3" s="265"/>
      <c r="Q3" s="265"/>
      <c r="R3" s="265"/>
      <c r="S3" s="265"/>
      <c r="T3" s="265"/>
    </row>
    <row r="4" spans="1:18" s="8" customFormat="1" ht="16.5" customHeight="1">
      <c r="A4" s="44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44"/>
      <c r="N4" s="44"/>
      <c r="O4" s="268" t="s">
        <v>23</v>
      </c>
      <c r="P4" s="268"/>
      <c r="Q4" s="268"/>
      <c r="R4" s="268"/>
    </row>
    <row r="5" spans="1:17" s="8" customFormat="1" ht="16.5" customHeight="1">
      <c r="A5" s="44"/>
      <c r="B5" s="279" t="s">
        <v>91</v>
      </c>
      <c r="C5" s="279"/>
      <c r="D5" s="44"/>
      <c r="E5" s="44"/>
      <c r="F5" s="44"/>
      <c r="G5" s="44"/>
      <c r="H5" s="171"/>
      <c r="I5" s="106"/>
      <c r="J5" s="46"/>
      <c r="K5" s="44"/>
      <c r="L5" s="44"/>
      <c r="M5" s="44"/>
      <c r="N5" s="44"/>
      <c r="O5" s="268" t="s">
        <v>207</v>
      </c>
      <c r="P5" s="268"/>
      <c r="Q5" s="268"/>
    </row>
    <row r="6" spans="1:20" s="8" customFormat="1" ht="17.25" thickBot="1">
      <c r="A6" s="44"/>
      <c r="B6" s="43"/>
      <c r="C6" s="44"/>
      <c r="D6" s="44"/>
      <c r="E6" s="44"/>
      <c r="F6" s="44"/>
      <c r="G6" s="44"/>
      <c r="H6" s="10"/>
      <c r="I6" s="15"/>
      <c r="J6" s="46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8" customFormat="1" ht="16.5" customHeight="1">
      <c r="A7" s="44"/>
      <c r="B7" s="44"/>
      <c r="C7" s="57" t="s">
        <v>225</v>
      </c>
      <c r="D7" s="193"/>
      <c r="E7" s="193"/>
      <c r="F7" s="90">
        <f>'Lang,LSI,RSI,PSI, LaI; Alk, TH'!D3</f>
        <v>6.2</v>
      </c>
      <c r="G7" s="10"/>
      <c r="H7" s="15"/>
      <c r="I7" s="46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s="8" customFormat="1" ht="16.5" customHeight="1">
      <c r="A8" s="44"/>
      <c r="B8" s="44"/>
      <c r="C8" s="60" t="s">
        <v>226</v>
      </c>
      <c r="D8" s="203"/>
      <c r="E8" s="217" t="s">
        <v>59</v>
      </c>
      <c r="F8" s="34">
        <f>'Lang,LSI,RSI,PSI, LaI; Alk, TH'!D4</f>
        <v>200</v>
      </c>
      <c r="G8" s="10"/>
      <c r="H8" s="15"/>
      <c r="I8" s="46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s="8" customFormat="1" ht="16.5" customHeight="1">
      <c r="A9" s="44"/>
      <c r="B9" s="44"/>
      <c r="C9" s="60" t="s">
        <v>227</v>
      </c>
      <c r="D9" s="203"/>
      <c r="E9" s="217" t="s">
        <v>129</v>
      </c>
      <c r="F9" s="34">
        <f>'Lang,LSI,RSI,PSI, LaI; Alk, TH'!D5</f>
        <v>0.5</v>
      </c>
      <c r="G9" s="10"/>
      <c r="H9" s="15"/>
      <c r="I9" s="46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0" s="8" customFormat="1" ht="16.5">
      <c r="A10" s="44"/>
      <c r="B10" s="44"/>
      <c r="C10" s="60" t="s">
        <v>227</v>
      </c>
      <c r="D10" s="203"/>
      <c r="E10" s="203" t="s">
        <v>54</v>
      </c>
      <c r="F10" s="38">
        <f>'Lang,LSI,RSI,PSI, LaI; Alk, TH'!I18</f>
        <v>1.2468827930174564</v>
      </c>
      <c r="G10" s="104"/>
      <c r="H10" s="10"/>
      <c r="I10" s="46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0" s="8" customFormat="1" ht="15.75" customHeight="1">
      <c r="A11" s="44"/>
      <c r="B11" s="44"/>
      <c r="C11" s="60" t="s">
        <v>228</v>
      </c>
      <c r="D11" s="203"/>
      <c r="E11" s="217" t="s">
        <v>130</v>
      </c>
      <c r="F11" s="34">
        <f>'Lang,LSI,RSI,PSI, LaI; Alk, TH'!D6</f>
        <v>2</v>
      </c>
      <c r="G11" s="10"/>
      <c r="H11" s="15"/>
      <c r="I11" s="4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0" s="8" customFormat="1" ht="15.75" customHeight="1">
      <c r="A12" s="44"/>
      <c r="B12" s="44"/>
      <c r="C12" s="60" t="s">
        <v>229</v>
      </c>
      <c r="D12" s="203"/>
      <c r="E12" s="217" t="s">
        <v>51</v>
      </c>
      <c r="F12" s="34">
        <f>'Lang,LSI,RSI,PSI, LaI; Alk, TH'!D7</f>
        <v>0</v>
      </c>
      <c r="G12" s="10"/>
      <c r="H12" s="15"/>
      <c r="I12" s="46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1:20" s="8" customFormat="1" ht="15.75" customHeight="1">
      <c r="A13" s="44"/>
      <c r="B13" s="44"/>
      <c r="C13" s="249" t="s">
        <v>92</v>
      </c>
      <c r="D13" s="250"/>
      <c r="E13" s="203"/>
      <c r="F13" s="34">
        <f>'Lang,LSI,RSI,PSI, LaI; Alk, TH'!D8</f>
        <v>0.47</v>
      </c>
      <c r="G13" s="10"/>
      <c r="H13" s="15"/>
      <c r="I13" s="46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s="8" customFormat="1" ht="15.75" customHeight="1">
      <c r="A14" s="44"/>
      <c r="B14" s="44"/>
      <c r="C14" s="103" t="s">
        <v>209</v>
      </c>
      <c r="D14" s="218"/>
      <c r="E14" s="218"/>
      <c r="F14" s="39">
        <f>F8*F13</f>
        <v>94</v>
      </c>
      <c r="G14" s="171"/>
      <c r="H14" s="46"/>
      <c r="I14" s="46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s="8" customFormat="1" ht="15.75" thickBot="1">
      <c r="A15" s="44"/>
      <c r="B15" s="44"/>
      <c r="C15" s="62" t="s">
        <v>230</v>
      </c>
      <c r="D15" s="194"/>
      <c r="E15" s="40" t="s">
        <v>231</v>
      </c>
      <c r="F15" s="36">
        <f>'Lang,LSI,RSI,PSI, LaI; Alk, TH'!D9</f>
        <v>21</v>
      </c>
      <c r="G15" s="171"/>
      <c r="H15" s="46"/>
      <c r="I15" s="46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0" s="8" customFormat="1" ht="15">
      <c r="A16" s="44"/>
      <c r="B16" s="44"/>
      <c r="C16" s="44"/>
      <c r="D16" s="44"/>
      <c r="E16" s="44"/>
      <c r="F16" s="44"/>
      <c r="G16" s="44"/>
      <c r="H16" s="171"/>
      <c r="I16" s="46"/>
      <c r="J16" s="46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 s="8" customFormat="1" ht="15">
      <c r="A17" s="44"/>
      <c r="B17" s="279" t="s">
        <v>219</v>
      </c>
      <c r="C17" s="279"/>
      <c r="D17" s="44"/>
      <c r="E17" s="44"/>
      <c r="F17" s="44"/>
      <c r="G17" s="44"/>
      <c r="H17" s="171"/>
      <c r="I17" s="46"/>
      <c r="J17" s="46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8" customFormat="1" ht="15.75" thickBot="1">
      <c r="A18" s="44"/>
      <c r="B18" s="44"/>
      <c r="C18" s="44"/>
      <c r="D18" s="44"/>
      <c r="E18" s="44"/>
      <c r="F18" s="44"/>
      <c r="G18" s="44"/>
      <c r="H18" s="171"/>
      <c r="I18" s="46"/>
      <c r="J18" s="46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s="8" customFormat="1" ht="15">
      <c r="A19" s="44"/>
      <c r="B19" s="44"/>
      <c r="C19" s="57" t="s">
        <v>138</v>
      </c>
      <c r="D19" s="206" t="s">
        <v>237</v>
      </c>
      <c r="E19" s="120">
        <f>(LOG10(F14)-1)/10</f>
        <v>0.09731278535996986</v>
      </c>
      <c r="F19" s="44"/>
      <c r="G19" s="44"/>
      <c r="H19" s="171"/>
      <c r="I19" s="46"/>
      <c r="J19" s="46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s="8" customFormat="1" ht="15">
      <c r="A20" s="44"/>
      <c r="B20" s="44"/>
      <c r="C20" s="60" t="s">
        <v>139</v>
      </c>
      <c r="D20" s="219" t="s">
        <v>238</v>
      </c>
      <c r="E20" s="132">
        <f>-13.12*LOG10(F15+273.2)+34.55</f>
        <v>2.1614081907033693</v>
      </c>
      <c r="F20" s="44"/>
      <c r="G20" s="44"/>
      <c r="H20" s="171"/>
      <c r="I20" s="46"/>
      <c r="J20" s="46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1:20" s="8" customFormat="1" ht="15">
      <c r="A21" s="44"/>
      <c r="B21" s="44"/>
      <c r="C21" s="60" t="s">
        <v>140</v>
      </c>
      <c r="D21" s="219" t="s">
        <v>145</v>
      </c>
      <c r="E21" s="132">
        <f>LOG10(F10)-0.4</f>
        <v>-0.3041743682841635</v>
      </c>
      <c r="F21" s="44"/>
      <c r="G21" s="44"/>
      <c r="H21" s="171"/>
      <c r="I21" s="46"/>
      <c r="J21" s="46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1:20" s="8" customFormat="1" ht="15.75" thickBot="1">
      <c r="A22" s="44"/>
      <c r="B22" s="44"/>
      <c r="C22" s="62" t="s">
        <v>141</v>
      </c>
      <c r="D22" s="207" t="s">
        <v>90</v>
      </c>
      <c r="E22" s="137">
        <f>LOG10(E26)</f>
        <v>0.21499522315424413</v>
      </c>
      <c r="F22" s="44"/>
      <c r="G22" s="44"/>
      <c r="H22" s="171"/>
      <c r="I22" s="46"/>
      <c r="J22" s="46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1:20" s="8" customFormat="1" ht="15.75" thickBot="1">
      <c r="A23" s="44"/>
      <c r="B23" s="44"/>
      <c r="C23" s="43"/>
      <c r="D23" s="44"/>
      <c r="E23" s="44"/>
      <c r="F23" s="44"/>
      <c r="G23" s="44"/>
      <c r="H23" s="171"/>
      <c r="I23" s="46"/>
      <c r="J23" s="46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0" s="8" customFormat="1" ht="18" thickBot="1">
      <c r="A24" s="44"/>
      <c r="B24" s="44"/>
      <c r="C24" s="66" t="s">
        <v>55</v>
      </c>
      <c r="D24" s="67" t="s">
        <v>147</v>
      </c>
      <c r="E24" s="208">
        <f>'Langelier (simplificado)'!E24</f>
        <v>11.64790012119326</v>
      </c>
      <c r="F24" s="44"/>
      <c r="G24" s="44"/>
      <c r="H24" s="171"/>
      <c r="I24" s="46"/>
      <c r="J24" s="46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s="8" customFormat="1" ht="15.75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s="8" customFormat="1" ht="15.75" thickBot="1">
      <c r="A26" s="44"/>
      <c r="B26" s="44"/>
      <c r="C26" s="124" t="s">
        <v>137</v>
      </c>
      <c r="D26" s="220"/>
      <c r="E26" s="126">
        <f>'Lang,LSI,RSI,PSI, LaI; Alk, TH'!D32</f>
        <v>1.640571728297928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s="8" customFormat="1" ht="15.75" thickBo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8" customFormat="1" ht="18" thickBot="1">
      <c r="A28" s="44"/>
      <c r="B28" s="44"/>
      <c r="C28" s="66" t="s">
        <v>56</v>
      </c>
      <c r="D28" s="125" t="s">
        <v>114</v>
      </c>
      <c r="E28" s="126">
        <f>1.465*LOG10(E26)+4.54</f>
        <v>4.854968001920968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s="2" customFormat="1" ht="17.25" customHeight="1" thickBot="1">
      <c r="A29" s="215"/>
      <c r="B29" s="215"/>
      <c r="C29" s="215"/>
      <c r="D29" s="215"/>
      <c r="E29" s="215"/>
      <c r="F29" s="215"/>
      <c r="G29" s="215"/>
      <c r="H29" s="221" t="s">
        <v>192</v>
      </c>
      <c r="I29" s="72"/>
      <c r="J29" s="222"/>
      <c r="K29" s="215"/>
      <c r="L29" s="215"/>
      <c r="M29" s="215"/>
      <c r="N29" s="215"/>
      <c r="O29" s="215"/>
      <c r="P29" s="215"/>
      <c r="Q29" s="215"/>
      <c r="R29" s="215"/>
      <c r="S29" s="215"/>
      <c r="T29" s="215"/>
    </row>
    <row r="30" spans="1:20" s="2" customFormat="1" ht="17.25" customHeight="1" thickBot="1">
      <c r="A30" s="215"/>
      <c r="B30" s="215"/>
      <c r="C30" s="75" t="s">
        <v>115</v>
      </c>
      <c r="D30" s="144" t="s">
        <v>67</v>
      </c>
      <c r="E30" s="122">
        <f>(2*E24)-E28</f>
        <v>18.440832240465554</v>
      </c>
      <c r="F30" s="215"/>
      <c r="G30" s="215"/>
      <c r="H30" s="188" t="s">
        <v>190</v>
      </c>
      <c r="I30" s="79"/>
      <c r="J30" s="223"/>
      <c r="K30" s="215"/>
      <c r="L30" s="215"/>
      <c r="M30" s="215"/>
      <c r="N30" s="215"/>
      <c r="O30" s="215"/>
      <c r="P30" s="215"/>
      <c r="Q30" s="215"/>
      <c r="R30" s="215"/>
      <c r="S30" s="215"/>
      <c r="T30" s="215"/>
    </row>
    <row r="31" spans="1:20" s="2" customFormat="1" ht="15" customHeight="1" thickBot="1">
      <c r="A31" s="215"/>
      <c r="B31" s="215"/>
      <c r="C31" s="215"/>
      <c r="D31" s="215"/>
      <c r="E31" s="215"/>
      <c r="F31" s="215"/>
      <c r="G31" s="215"/>
      <c r="H31" s="81" t="s">
        <v>191</v>
      </c>
      <c r="I31" s="82"/>
      <c r="J31" s="224"/>
      <c r="K31" s="215"/>
      <c r="L31" s="215"/>
      <c r="M31" s="215"/>
      <c r="N31" s="215"/>
      <c r="O31" s="215"/>
      <c r="P31" s="215"/>
      <c r="Q31" s="215"/>
      <c r="R31" s="215"/>
      <c r="S31" s="215"/>
      <c r="T31" s="215"/>
    </row>
    <row r="32" spans="1:20" s="2" customFormat="1" ht="13.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</row>
    <row r="33" spans="1:20" s="2" customFormat="1" ht="13.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</row>
    <row r="34" spans="1:20" s="8" customFormat="1" ht="14.25" customHeight="1">
      <c r="A34" s="44"/>
      <c r="B34" s="275" t="s">
        <v>162</v>
      </c>
      <c r="C34" s="275"/>
      <c r="D34" s="275"/>
      <c r="E34" s="275"/>
      <c r="F34" s="100"/>
      <c r="G34" s="225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0" s="8" customFormat="1" ht="14.25" customHeight="1">
      <c r="A35" s="44"/>
      <c r="B35" s="46"/>
      <c r="C35" s="200"/>
      <c r="D35" s="200"/>
      <c r="E35" s="200"/>
      <c r="F35" s="200"/>
      <c r="G35" s="225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 s="8" customFormat="1" ht="15" customHeight="1">
      <c r="A36" s="44"/>
      <c r="B36" s="274" t="s">
        <v>27</v>
      </c>
      <c r="C36" s="274"/>
      <c r="D36" s="200"/>
      <c r="E36" s="200"/>
      <c r="F36" s="200"/>
      <c r="G36" s="225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 s="8" customFormat="1" ht="15">
      <c r="A37" s="44"/>
      <c r="B37" s="46" t="s">
        <v>155</v>
      </c>
      <c r="C37" s="200"/>
      <c r="D37" s="200"/>
      <c r="E37" s="200"/>
      <c r="F37" s="200"/>
      <c r="G37" s="225"/>
      <c r="H37" s="225"/>
      <c r="I37" s="46"/>
      <c r="J37" s="46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1:20" s="8" customFormat="1" ht="15">
      <c r="A38" s="44"/>
      <c r="B38" s="274" t="s">
        <v>57</v>
      </c>
      <c r="C38" s="274"/>
      <c r="D38" s="274"/>
      <c r="E38" s="200"/>
      <c r="F38" s="200"/>
      <c r="G38" s="225"/>
      <c r="H38" s="225"/>
      <c r="I38" s="46"/>
      <c r="J38" s="46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1:31" ht="15">
      <c r="A39" s="226"/>
      <c r="B39" s="87"/>
      <c r="C39" s="87"/>
      <c r="D39" s="87"/>
      <c r="E39" s="200"/>
      <c r="F39" s="200"/>
      <c r="G39" s="225"/>
      <c r="H39" s="225"/>
      <c r="I39" s="227"/>
      <c r="J39" s="227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ht="12.75" customHeight="1">
      <c r="A40" s="226"/>
      <c r="B40" s="276" t="s">
        <v>239</v>
      </c>
      <c r="C40" s="261"/>
      <c r="D40" s="261"/>
      <c r="E40" s="261"/>
      <c r="F40" s="261"/>
      <c r="G40" s="261"/>
      <c r="H40" s="261"/>
      <c r="I40" s="261"/>
      <c r="J40" s="261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12.75" customHeight="1">
      <c r="A41" s="226"/>
      <c r="B41" s="261"/>
      <c r="C41" s="261"/>
      <c r="D41" s="261"/>
      <c r="E41" s="261"/>
      <c r="F41" s="261"/>
      <c r="G41" s="261"/>
      <c r="H41" s="261"/>
      <c r="I41" s="261"/>
      <c r="J41" s="261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13.5" customHeight="1">
      <c r="A42" s="226"/>
      <c r="B42" s="261"/>
      <c r="C42" s="261"/>
      <c r="D42" s="261"/>
      <c r="E42" s="261"/>
      <c r="F42" s="261"/>
      <c r="G42" s="261"/>
      <c r="H42" s="261"/>
      <c r="I42" s="261"/>
      <c r="J42" s="261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ht="12">
      <c r="A43" s="226"/>
      <c r="B43" s="227"/>
      <c r="C43" s="227"/>
      <c r="D43" s="227"/>
      <c r="E43" s="227"/>
      <c r="F43" s="227"/>
      <c r="G43" s="227"/>
      <c r="H43" s="227"/>
      <c r="I43" s="227"/>
      <c r="J43" s="227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ht="12">
      <c r="A44" s="226"/>
      <c r="B44" s="227"/>
      <c r="C44" s="227"/>
      <c r="D44" s="227"/>
      <c r="E44" s="227"/>
      <c r="F44" s="227"/>
      <c r="G44" s="227"/>
      <c r="H44" s="227"/>
      <c r="I44" s="227"/>
      <c r="J44" s="227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12">
      <c r="A45" s="226"/>
      <c r="B45" s="227"/>
      <c r="C45" s="227"/>
      <c r="D45" s="227"/>
      <c r="E45" s="227"/>
      <c r="F45" s="227"/>
      <c r="G45" s="227"/>
      <c r="H45" s="227"/>
      <c r="I45" s="227"/>
      <c r="J45" s="227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12">
      <c r="A46" s="226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12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ht="12">
      <c r="A48" s="226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12">
      <c r="A49" s="226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12">
      <c r="A50" s="226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 ht="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 ht="1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 ht="1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 ht="1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 ht="1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 ht="1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 ht="1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 ht="1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ht="1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 ht="1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 ht="1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ht="1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 ht="1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ht="1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ht="1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ht="1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ht="1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ht="1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ht="1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ht="1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ht="1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ht="1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ht="1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ht="1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ht="1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ht="1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ht="1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 ht="1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 ht="1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 ht="1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ht="1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ht="1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ht="1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ht="1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ht="1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ht="1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ht="1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ht="1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ht="1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ht="1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ht="1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ht="1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ht="1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ht="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ht="1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ht="1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ht="1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ht="1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ht="1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ht="1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ht="1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ht="1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ht="1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ht="1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ht="1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ht="1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ht="1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ht="1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 ht="1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 ht="1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 ht="1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31" ht="1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31" ht="1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31" ht="1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31" ht="1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31" ht="1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:31" ht="1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31" ht="1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31" ht="1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:31" ht="1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31" ht="1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:31" ht="1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31" ht="1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:31" ht="1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31" ht="1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:31" ht="1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31" ht="1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 ht="1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 ht="1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 ht="1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 ht="1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 ht="1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 ht="1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 ht="1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31" ht="1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:31" ht="1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:31" ht="1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:31" ht="1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:31" ht="1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:31" ht="1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:31" ht="1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:31" ht="1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:31" ht="1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:31" ht="1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:31" ht="1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:31" ht="1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:31" ht="1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:31" ht="1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:31" ht="1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:31" ht="1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:31" ht="1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:31" ht="1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:31" ht="1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1:31" ht="1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1:31" ht="1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1:31" ht="1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1:31" ht="1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1:31" ht="1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1:31" ht="1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1:31" ht="1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:31" ht="1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1:31" ht="1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1:31" ht="1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1:31" ht="1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1:31" ht="1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1:31" ht="1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:31" ht="1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1:31" ht="1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1:31" ht="1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1:31" ht="1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:31" ht="1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:31" ht="1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:31" ht="1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:31" ht="1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:31" ht="1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:31" ht="1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1:31" ht="1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:31" ht="1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1:31" ht="1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1:31" ht="1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1:31" ht="1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1:31" ht="1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1:31" ht="1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:31" ht="1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1:31" ht="1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:31" ht="1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:31" ht="1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:31" ht="1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:31" ht="1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1:31" ht="1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1:31" ht="1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1:31" ht="1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1:31" ht="1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1:31" ht="1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1:31" ht="1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:31" ht="1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:31" ht="1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1:31" ht="1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:31" ht="1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1:31" ht="1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1:31" ht="1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:31" ht="1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1:31" ht="1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1:31" ht="1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1:31" ht="1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1:31" ht="1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1:31" ht="1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1:31" ht="1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1:31" ht="1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1:31" ht="1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1:31" ht="1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1:31" ht="1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</row>
    <row r="231" spans="1:31" ht="1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1:31" ht="1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</row>
    <row r="233" spans="1:31" ht="1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</row>
    <row r="234" spans="1:31" ht="1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</row>
    <row r="235" spans="1:31" ht="1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</row>
    <row r="236" spans="1:31" ht="1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1:31" ht="1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:31" ht="1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</row>
    <row r="239" spans="1:31" ht="1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</row>
    <row r="240" spans="1:31" ht="1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</row>
    <row r="241" spans="1:31" ht="1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</row>
    <row r="242" spans="1:31" ht="1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</row>
    <row r="243" spans="1:31" ht="1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</row>
    <row r="244" spans="1:31" ht="1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</row>
  </sheetData>
  <sheetProtection password="CC41" sheet="1" objects="1" scenarios="1" selectLockedCells="1"/>
  <mergeCells count="11">
    <mergeCell ref="O2:T3"/>
    <mergeCell ref="B5:C5"/>
    <mergeCell ref="C13:D13"/>
    <mergeCell ref="B17:C17"/>
    <mergeCell ref="B2:L4"/>
    <mergeCell ref="O4:R4"/>
    <mergeCell ref="O5:Q5"/>
    <mergeCell ref="B34:E34"/>
    <mergeCell ref="B36:C36"/>
    <mergeCell ref="B38:D38"/>
    <mergeCell ref="B40:J42"/>
  </mergeCells>
  <printOptions/>
  <pageMargins left="0.75" right="0.75" top="1" bottom="1" header="0" footer="0"/>
  <pageSetup orientation="portrait" paperSize="9"/>
  <drawing r:id="rId3"/>
  <legacyDrawing r:id="rId2"/>
  <oleObjects>
    <oleObject progId="CorelPhotoPaint.Image.8" shapeId="4174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I10" sqref="I10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5.421875" style="2" customWidth="1"/>
    <col min="4" max="4" width="14.28125" style="2" customWidth="1"/>
    <col min="5" max="5" width="14.421875" style="2" customWidth="1"/>
    <col min="6" max="9" width="11.421875" style="2" customWidth="1"/>
    <col min="10" max="10" width="14.421875" style="2" customWidth="1"/>
    <col min="11" max="16384" width="11.421875" style="2" customWidth="1"/>
  </cols>
  <sheetData>
    <row r="1" spans="1:21" ht="15">
      <c r="A1" s="215"/>
      <c r="B1" s="43" t="s">
        <v>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15"/>
      <c r="R1" s="215"/>
      <c r="S1" s="215"/>
      <c r="T1" s="215"/>
      <c r="U1" s="215"/>
    </row>
    <row r="2" spans="1:21" ht="14.25" customHeight="1">
      <c r="A2" s="215"/>
      <c r="B2" s="282" t="s">
        <v>12</v>
      </c>
      <c r="C2" s="282"/>
      <c r="D2" s="282"/>
      <c r="E2" s="282"/>
      <c r="F2" s="282"/>
      <c r="G2" s="282"/>
      <c r="H2" s="282"/>
      <c r="I2" s="282"/>
      <c r="J2" s="282"/>
      <c r="K2" s="216"/>
      <c r="L2" s="216"/>
      <c r="M2" s="216"/>
      <c r="N2" s="216"/>
      <c r="O2" s="265" t="s">
        <v>261</v>
      </c>
      <c r="P2" s="265"/>
      <c r="Q2" s="265"/>
      <c r="R2" s="265"/>
      <c r="S2" s="265"/>
      <c r="T2" s="265"/>
      <c r="U2" s="215"/>
    </row>
    <row r="3" spans="1:21" ht="14.25" customHeight="1">
      <c r="A3" s="215"/>
      <c r="B3" s="282"/>
      <c r="C3" s="282"/>
      <c r="D3" s="282"/>
      <c r="E3" s="282"/>
      <c r="F3" s="282"/>
      <c r="G3" s="282"/>
      <c r="H3" s="282"/>
      <c r="I3" s="282"/>
      <c r="J3" s="282"/>
      <c r="K3" s="216"/>
      <c r="L3" s="216"/>
      <c r="M3" s="216"/>
      <c r="N3" s="216"/>
      <c r="O3" s="265"/>
      <c r="P3" s="265"/>
      <c r="Q3" s="265"/>
      <c r="R3" s="265"/>
      <c r="S3" s="265"/>
      <c r="T3" s="265"/>
      <c r="U3" s="215"/>
    </row>
    <row r="4" spans="1:21" ht="16.5">
      <c r="A4" s="215"/>
      <c r="B4" s="282"/>
      <c r="C4" s="282"/>
      <c r="D4" s="282"/>
      <c r="E4" s="282"/>
      <c r="F4" s="282"/>
      <c r="G4" s="282"/>
      <c r="H4" s="282"/>
      <c r="I4" s="282"/>
      <c r="J4" s="282"/>
      <c r="K4" s="44"/>
      <c r="L4" s="44"/>
      <c r="M4" s="44"/>
      <c r="N4" s="44"/>
      <c r="O4" s="268" t="s">
        <v>23</v>
      </c>
      <c r="P4" s="268"/>
      <c r="Q4" s="268"/>
      <c r="R4" s="268"/>
      <c r="S4" s="8"/>
      <c r="T4" s="8"/>
      <c r="U4" s="215"/>
    </row>
    <row r="5" spans="1:21" ht="16.5">
      <c r="A5" s="215"/>
      <c r="B5" s="45" t="s">
        <v>218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268" t="s">
        <v>207</v>
      </c>
      <c r="P5" s="268"/>
      <c r="Q5" s="268"/>
      <c r="R5" s="8"/>
      <c r="S5" s="8"/>
      <c r="T5" s="8"/>
      <c r="U5" s="215"/>
    </row>
    <row r="6" spans="1:21" ht="15.75" thickBot="1">
      <c r="A6" s="215"/>
      <c r="B6" s="228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215"/>
      <c r="R6" s="215"/>
      <c r="S6" s="215"/>
      <c r="T6" s="215"/>
      <c r="U6" s="215"/>
    </row>
    <row r="7" spans="1:21" ht="15">
      <c r="A7" s="215"/>
      <c r="B7" s="44"/>
      <c r="C7" s="57" t="s">
        <v>117</v>
      </c>
      <c r="D7" s="229" t="s">
        <v>116</v>
      </c>
      <c r="E7" s="90">
        <f>'Lang,LSI,RSI,PSI, LaI; Alk, TH'!D10</f>
        <v>80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215"/>
      <c r="R7" s="215"/>
      <c r="S7" s="215"/>
      <c r="T7" s="215"/>
      <c r="U7" s="215"/>
    </row>
    <row r="8" spans="1:21" ht="15">
      <c r="A8" s="215"/>
      <c r="B8" s="44"/>
      <c r="C8" s="60" t="s">
        <v>118</v>
      </c>
      <c r="D8" s="54" t="s">
        <v>116</v>
      </c>
      <c r="E8" s="91">
        <f>'Lang,LSI,RSI,PSI, LaI; Alk, TH'!D11</f>
        <v>1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215"/>
      <c r="R8" s="215"/>
      <c r="S8" s="215"/>
      <c r="T8" s="215"/>
      <c r="U8" s="215"/>
    </row>
    <row r="9" spans="1:21" ht="15">
      <c r="A9" s="215"/>
      <c r="B9" s="44"/>
      <c r="C9" s="60" t="s">
        <v>119</v>
      </c>
      <c r="D9" s="54" t="s">
        <v>116</v>
      </c>
      <c r="E9" s="91">
        <f>'Lang,LSI,RSI,PSI, LaI; Alk, TH'!D6</f>
        <v>2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215"/>
      <c r="R9" s="215"/>
      <c r="S9" s="215"/>
      <c r="T9" s="215"/>
      <c r="U9" s="215"/>
    </row>
    <row r="10" spans="1:21" ht="15.75" thickBot="1">
      <c r="A10" s="215"/>
      <c r="B10" s="44"/>
      <c r="C10" s="62" t="s">
        <v>120</v>
      </c>
      <c r="D10" s="56" t="s">
        <v>116</v>
      </c>
      <c r="E10" s="92">
        <f>'Lang,LSI,RSI,PSI, LaI; Alk, TH'!D7</f>
        <v>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215"/>
      <c r="R10" s="215"/>
      <c r="S10" s="215"/>
      <c r="T10" s="215"/>
      <c r="U10" s="215"/>
    </row>
    <row r="11" spans="1:21" ht="15">
      <c r="A11" s="215"/>
      <c r="B11" s="44"/>
      <c r="C11" s="203"/>
      <c r="D11" s="44"/>
      <c r="E11" s="230"/>
      <c r="F11" s="10"/>
      <c r="G11" s="10"/>
      <c r="H11" s="44"/>
      <c r="I11" s="44"/>
      <c r="J11" s="44"/>
      <c r="K11" s="44"/>
      <c r="L11" s="44"/>
      <c r="M11" s="44"/>
      <c r="N11" s="44"/>
      <c r="O11" s="44"/>
      <c r="P11" s="44"/>
      <c r="Q11" s="215"/>
      <c r="R11" s="215"/>
      <c r="S11" s="215"/>
      <c r="T11" s="215"/>
      <c r="U11" s="215"/>
    </row>
    <row r="12" spans="1:21" ht="15">
      <c r="A12" s="215"/>
      <c r="B12" s="43" t="s">
        <v>219</v>
      </c>
      <c r="C12" s="203"/>
      <c r="D12" s="44"/>
      <c r="E12" s="230"/>
      <c r="F12" s="10"/>
      <c r="G12" s="10"/>
      <c r="H12" s="44"/>
      <c r="I12" s="44"/>
      <c r="J12" s="44"/>
      <c r="K12" s="44"/>
      <c r="L12" s="44"/>
      <c r="M12" s="44"/>
      <c r="N12" s="44"/>
      <c r="O12" s="44"/>
      <c r="P12" s="44"/>
      <c r="Q12" s="215"/>
      <c r="R12" s="215"/>
      <c r="S12" s="215"/>
      <c r="T12" s="215"/>
      <c r="U12" s="215"/>
    </row>
    <row r="13" spans="1:21" ht="15.75" thickBot="1">
      <c r="A13" s="215"/>
      <c r="B13" s="44"/>
      <c r="C13" s="203"/>
      <c r="D13" s="44"/>
      <c r="E13" s="230"/>
      <c r="F13" s="10"/>
      <c r="G13" s="10"/>
      <c r="H13" s="44"/>
      <c r="I13" s="44"/>
      <c r="J13" s="44"/>
      <c r="K13" s="44"/>
      <c r="L13" s="44"/>
      <c r="M13" s="44"/>
      <c r="N13" s="44"/>
      <c r="O13" s="44"/>
      <c r="P13" s="44"/>
      <c r="Q13" s="215"/>
      <c r="R13" s="215"/>
      <c r="S13" s="215"/>
      <c r="T13" s="215"/>
      <c r="U13" s="215"/>
    </row>
    <row r="14" spans="1:21" ht="16.5">
      <c r="A14" s="215"/>
      <c r="B14" s="44"/>
      <c r="C14" s="128" t="s">
        <v>69</v>
      </c>
      <c r="D14" s="48" t="s">
        <v>122</v>
      </c>
      <c r="E14" s="130">
        <f>E7/35.45</f>
        <v>2.256699576868829</v>
      </c>
      <c r="F14" s="10"/>
      <c r="G14" s="10"/>
      <c r="H14" s="44"/>
      <c r="I14" s="44"/>
      <c r="J14" s="44"/>
      <c r="K14" s="44"/>
      <c r="L14" s="44"/>
      <c r="M14" s="44"/>
      <c r="N14" s="44"/>
      <c r="O14" s="44"/>
      <c r="P14" s="44"/>
      <c r="Q14" s="215"/>
      <c r="R14" s="215"/>
      <c r="S14" s="215"/>
      <c r="T14" s="215"/>
      <c r="U14" s="215"/>
    </row>
    <row r="15" spans="1:21" ht="18">
      <c r="A15" s="215"/>
      <c r="B15" s="44"/>
      <c r="C15" s="134" t="s">
        <v>197</v>
      </c>
      <c r="D15" s="52" t="s">
        <v>122</v>
      </c>
      <c r="E15" s="38">
        <f>E8/48.03</f>
        <v>0.020820320632937747</v>
      </c>
      <c r="F15" s="10"/>
      <c r="G15" s="10"/>
      <c r="H15" s="44"/>
      <c r="I15" s="44"/>
      <c r="J15" s="44"/>
      <c r="K15" s="44"/>
      <c r="L15" s="44"/>
      <c r="M15" s="44"/>
      <c r="N15" s="44"/>
      <c r="O15" s="44"/>
      <c r="P15" s="44"/>
      <c r="Q15" s="215"/>
      <c r="R15" s="215"/>
      <c r="S15" s="215"/>
      <c r="T15" s="215"/>
      <c r="U15" s="215"/>
    </row>
    <row r="16" spans="1:21" ht="18.75" thickBot="1">
      <c r="A16" s="215"/>
      <c r="B16" s="44"/>
      <c r="C16" s="134" t="s">
        <v>198</v>
      </c>
      <c r="D16" s="52" t="s">
        <v>122</v>
      </c>
      <c r="E16" s="38">
        <f>E9/61</f>
        <v>0.03278688524590164</v>
      </c>
      <c r="F16" s="46"/>
      <c r="G16" s="46"/>
      <c r="H16" s="44"/>
      <c r="I16" s="44"/>
      <c r="J16" s="44"/>
      <c r="K16" s="44"/>
      <c r="L16" s="44"/>
      <c r="M16" s="44"/>
      <c r="N16" s="44"/>
      <c r="O16" s="44"/>
      <c r="P16" s="44"/>
      <c r="Q16" s="215"/>
      <c r="R16" s="215"/>
      <c r="S16" s="215"/>
      <c r="T16" s="215"/>
      <c r="U16" s="215"/>
    </row>
    <row r="17" spans="1:21" ht="18.75" thickBot="1">
      <c r="A17" s="215"/>
      <c r="B17" s="44"/>
      <c r="C17" s="140" t="s">
        <v>199</v>
      </c>
      <c r="D17" s="231" t="s">
        <v>122</v>
      </c>
      <c r="E17" s="142">
        <f>E10/30</f>
        <v>0</v>
      </c>
      <c r="F17" s="44"/>
      <c r="G17" s="44"/>
      <c r="H17" s="284" t="s">
        <v>4</v>
      </c>
      <c r="I17" s="285"/>
      <c r="J17" s="286"/>
      <c r="K17" s="44"/>
      <c r="L17" s="44"/>
      <c r="M17" s="44"/>
      <c r="N17" s="44"/>
      <c r="O17" s="44"/>
      <c r="P17" s="44"/>
      <c r="Q17" s="215"/>
      <c r="R17" s="215"/>
      <c r="S17" s="215"/>
      <c r="T17" s="215"/>
      <c r="U17" s="215"/>
    </row>
    <row r="18" spans="1:21" ht="13.5" customHeight="1" thickBot="1">
      <c r="A18" s="215"/>
      <c r="B18" s="44"/>
      <c r="C18" s="148" t="s">
        <v>7</v>
      </c>
      <c r="D18" s="232"/>
      <c r="E18" s="150">
        <f>(E14+E15)/(E16+E17)</f>
        <v>69.46435687380388</v>
      </c>
      <c r="F18" s="10"/>
      <c r="G18" s="44"/>
      <c r="H18" s="287" t="s">
        <v>5</v>
      </c>
      <c r="I18" s="275"/>
      <c r="J18" s="288"/>
      <c r="K18" s="281"/>
      <c r="L18" s="281"/>
      <c r="M18" s="281"/>
      <c r="N18" s="44"/>
      <c r="O18" s="44"/>
      <c r="P18" s="44"/>
      <c r="Q18" s="215"/>
      <c r="R18" s="215"/>
      <c r="S18" s="215"/>
      <c r="T18" s="215"/>
      <c r="U18" s="215"/>
    </row>
    <row r="19" spans="1:21" ht="15.75" thickBot="1">
      <c r="A19" s="215"/>
      <c r="B19" s="44"/>
      <c r="C19" s="44"/>
      <c r="D19" s="44"/>
      <c r="E19" s="44"/>
      <c r="F19" s="44"/>
      <c r="G19" s="44"/>
      <c r="H19" s="289" t="s">
        <v>6</v>
      </c>
      <c r="I19" s="290"/>
      <c r="J19" s="291"/>
      <c r="K19" s="44"/>
      <c r="L19" s="44"/>
      <c r="M19" s="44"/>
      <c r="N19" s="44"/>
      <c r="O19" s="44"/>
      <c r="P19" s="44"/>
      <c r="Q19" s="215"/>
      <c r="R19" s="215"/>
      <c r="S19" s="215"/>
      <c r="T19" s="215"/>
      <c r="U19" s="215"/>
    </row>
    <row r="20" spans="1:21" ht="15">
      <c r="A20" s="215"/>
      <c r="B20" s="275" t="s">
        <v>162</v>
      </c>
      <c r="C20" s="275"/>
      <c r="D20" s="275"/>
      <c r="E20" s="275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215"/>
      <c r="R20" s="215"/>
      <c r="S20" s="215"/>
      <c r="T20" s="215"/>
      <c r="U20" s="215"/>
    </row>
    <row r="21" spans="1:21" ht="15">
      <c r="A21" s="215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215"/>
      <c r="R21" s="215"/>
      <c r="S21" s="215"/>
      <c r="T21" s="215"/>
      <c r="U21" s="215"/>
    </row>
    <row r="22" spans="1:21" ht="15">
      <c r="A22" s="215"/>
      <c r="B22" s="274" t="s">
        <v>97</v>
      </c>
      <c r="C22" s="274"/>
      <c r="D22" s="274"/>
      <c r="E22" s="274"/>
      <c r="F22" s="274"/>
      <c r="G22" s="274"/>
      <c r="H22" s="274"/>
      <c r="I22" s="274"/>
      <c r="J22" s="46"/>
      <c r="K22" s="46"/>
      <c r="L22" s="44"/>
      <c r="M22" s="44"/>
      <c r="N22" s="44"/>
      <c r="O22" s="44"/>
      <c r="P22" s="44"/>
      <c r="Q22" s="215"/>
      <c r="R22" s="215"/>
      <c r="S22" s="215"/>
      <c r="T22" s="215"/>
      <c r="U22" s="215"/>
    </row>
    <row r="23" spans="1:21" ht="15">
      <c r="A23" s="215"/>
      <c r="B23" s="171"/>
      <c r="C23" s="200"/>
      <c r="D23" s="52"/>
      <c r="E23" s="52"/>
      <c r="F23" s="52"/>
      <c r="G23" s="52"/>
      <c r="H23" s="46"/>
      <c r="I23" s="46"/>
      <c r="J23" s="46"/>
      <c r="K23" s="46"/>
      <c r="L23" s="44"/>
      <c r="M23" s="44"/>
      <c r="N23" s="44"/>
      <c r="O23" s="44"/>
      <c r="P23" s="44"/>
      <c r="Q23" s="215"/>
      <c r="R23" s="215"/>
      <c r="S23" s="215"/>
      <c r="T23" s="215"/>
      <c r="U23" s="215"/>
    </row>
    <row r="24" spans="1:21" ht="15">
      <c r="A24" s="215"/>
      <c r="B24" s="172" t="s">
        <v>121</v>
      </c>
      <c r="C24" s="200"/>
      <c r="D24" s="52"/>
      <c r="E24" s="52"/>
      <c r="F24" s="52"/>
      <c r="G24" s="52"/>
      <c r="H24" s="46"/>
      <c r="I24" s="46"/>
      <c r="J24" s="46"/>
      <c r="K24" s="46"/>
      <c r="L24" s="44"/>
      <c r="M24" s="44"/>
      <c r="N24" s="44"/>
      <c r="O24" s="44"/>
      <c r="P24" s="44"/>
      <c r="Q24" s="215"/>
      <c r="R24" s="215"/>
      <c r="S24" s="215"/>
      <c r="T24" s="215"/>
      <c r="U24" s="215"/>
    </row>
    <row r="25" spans="1:21" ht="15">
      <c r="A25" s="215"/>
      <c r="B25" s="274" t="s">
        <v>157</v>
      </c>
      <c r="C25" s="275"/>
      <c r="D25" s="275"/>
      <c r="E25" s="275"/>
      <c r="F25" s="275"/>
      <c r="G25" s="275"/>
      <c r="H25" s="275"/>
      <c r="I25" s="275"/>
      <c r="J25" s="46"/>
      <c r="K25" s="46"/>
      <c r="L25" s="44"/>
      <c r="M25" s="44"/>
      <c r="N25" s="44"/>
      <c r="O25" s="44"/>
      <c r="P25" s="44"/>
      <c r="Q25" s="215"/>
      <c r="R25" s="215"/>
      <c r="S25" s="215"/>
      <c r="T25" s="215"/>
      <c r="U25" s="215"/>
    </row>
    <row r="26" spans="1:21" ht="15">
      <c r="A26" s="215"/>
      <c r="B26" s="275"/>
      <c r="C26" s="275"/>
      <c r="D26" s="275"/>
      <c r="E26" s="275"/>
      <c r="F26" s="275"/>
      <c r="G26" s="275"/>
      <c r="H26" s="275"/>
      <c r="I26" s="275"/>
      <c r="J26" s="46"/>
      <c r="K26" s="46"/>
      <c r="L26" s="44"/>
      <c r="M26" s="44"/>
      <c r="N26" s="44"/>
      <c r="O26" s="44"/>
      <c r="P26" s="44"/>
      <c r="Q26" s="215"/>
      <c r="R26" s="215"/>
      <c r="S26" s="215"/>
      <c r="T26" s="215"/>
      <c r="U26" s="215"/>
    </row>
    <row r="27" spans="1:21" s="1" customFormat="1" ht="13.5">
      <c r="A27" s="131"/>
      <c r="B27" s="162"/>
      <c r="C27" s="162"/>
      <c r="D27" s="162"/>
      <c r="E27" s="162"/>
      <c r="F27" s="162"/>
      <c r="G27" s="162"/>
      <c r="H27" s="162"/>
      <c r="I27" s="162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s="1" customFormat="1" ht="12.75" customHeight="1">
      <c r="A28" s="131"/>
      <c r="B28" s="276" t="s">
        <v>58</v>
      </c>
      <c r="C28" s="283"/>
      <c r="D28" s="283"/>
      <c r="E28" s="283"/>
      <c r="F28" s="283"/>
      <c r="G28" s="283"/>
      <c r="H28" s="283"/>
      <c r="I28" s="283"/>
      <c r="J28" s="283"/>
      <c r="K28" s="233"/>
      <c r="L28" s="233"/>
      <c r="M28" s="233"/>
      <c r="N28" s="233"/>
      <c r="O28" s="131"/>
      <c r="P28" s="131"/>
      <c r="Q28" s="131"/>
      <c r="R28" s="131"/>
      <c r="S28" s="131"/>
      <c r="T28" s="131"/>
      <c r="U28" s="131"/>
    </row>
    <row r="29" spans="1:21" s="1" customFormat="1" ht="12.75" customHeight="1">
      <c r="A29" s="131"/>
      <c r="B29" s="283"/>
      <c r="C29" s="283"/>
      <c r="D29" s="283"/>
      <c r="E29" s="283"/>
      <c r="F29" s="283"/>
      <c r="G29" s="283"/>
      <c r="H29" s="283"/>
      <c r="I29" s="283"/>
      <c r="J29" s="283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</row>
    <row r="30" spans="1:21" s="1" customFormat="1" ht="12.75" customHeight="1">
      <c r="A30" s="131"/>
      <c r="B30" s="233"/>
      <c r="C30" s="233"/>
      <c r="D30" s="233"/>
      <c r="E30" s="233"/>
      <c r="F30" s="233"/>
      <c r="G30" s="233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</row>
    <row r="31" spans="1:21" s="1" customFormat="1" ht="12.75" customHeight="1">
      <c r="A31" s="131"/>
      <c r="B31" s="233"/>
      <c r="C31" s="233"/>
      <c r="D31" s="233"/>
      <c r="E31" s="233"/>
      <c r="F31" s="233"/>
      <c r="G31" s="233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</row>
    <row r="32" spans="1:21" s="1" customFormat="1" ht="13.5">
      <c r="A32" s="131"/>
      <c r="B32" s="233"/>
      <c r="C32" s="233"/>
      <c r="D32" s="233"/>
      <c r="E32" s="233"/>
      <c r="F32" s="233"/>
      <c r="G32" s="233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</row>
    <row r="33" spans="1:21" s="1" customFormat="1" ht="13.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s="1" customFormat="1" ht="13.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:21" s="1" customFormat="1" ht="13.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</row>
    <row r="36" s="1" customFormat="1" ht="13.5"/>
  </sheetData>
  <sheetProtection password="CC41" sheet="1" objects="1" scenarios="1" selectLockedCells="1"/>
  <mergeCells count="12">
    <mergeCell ref="B28:J29"/>
    <mergeCell ref="H17:J17"/>
    <mergeCell ref="H18:J18"/>
    <mergeCell ref="H19:J19"/>
    <mergeCell ref="B25:I26"/>
    <mergeCell ref="B20:E20"/>
    <mergeCell ref="B22:I22"/>
    <mergeCell ref="K18:M18"/>
    <mergeCell ref="B2:J4"/>
    <mergeCell ref="O4:R4"/>
    <mergeCell ref="O5:Q5"/>
    <mergeCell ref="O2:T3"/>
  </mergeCells>
  <printOptions/>
  <pageMargins left="0.75" right="0.75" top="1" bottom="1" header="0" footer="0"/>
  <pageSetup orientation="portrait" paperSize="9"/>
  <drawing r:id="rId3"/>
  <legacyDrawing r:id="rId2"/>
  <oleObjects>
    <oleObject progId="CorelPhotoPaint.Image.8" shapeId="444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Fundación Centro Canario del 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 Carmelo</dc:creator>
  <cp:keywords/>
  <dc:description/>
  <cp:lastModifiedBy>Manuel Hernández Suárez</cp:lastModifiedBy>
  <cp:lastPrinted>2009-06-22T11:39:47Z</cp:lastPrinted>
  <dcterms:created xsi:type="dcterms:W3CDTF">2009-06-19T09:13:16Z</dcterms:created>
  <dcterms:modified xsi:type="dcterms:W3CDTF">2009-06-30T09:30:49Z</dcterms:modified>
  <cp:category/>
  <cp:version/>
  <cp:contentType/>
  <cp:contentStatus/>
</cp:coreProperties>
</file>